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10151-02 Toyoko Energy &amp; Sustainability\DESIGN\Reports\"/>
    </mc:Choice>
  </mc:AlternateContent>
  <xr:revisionPtr revIDLastSave="0" documentId="13_ncr:1_{EB8F0EB7-5C28-4B1D-AD3B-97D61A23379C}" xr6:coauthVersionLast="47" xr6:coauthVersionMax="47" xr10:uidLastSave="{00000000-0000-0000-0000-000000000000}"/>
  <bookViews>
    <workbookView xWindow="-108" yWindow="-108" windowWidth="23256" windowHeight="12456" xr2:uid="{54D28A9C-953E-4638-9309-2F7438F52311}"/>
  </bookViews>
  <sheets>
    <sheet name="Version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1" i="1" l="1"/>
  <c r="E76" i="1"/>
  <c r="E69" i="1"/>
  <c r="M17" i="1"/>
  <c r="E38" i="1" l="1"/>
  <c r="F36" i="1" l="1"/>
  <c r="F37" i="1"/>
  <c r="F38" i="1" l="1"/>
  <c r="H36" i="1"/>
  <c r="G36" i="1"/>
  <c r="G37" i="1"/>
  <c r="H37" i="1"/>
  <c r="I37" i="1" l="1"/>
  <c r="I36" i="1"/>
  <c r="I38" i="1" s="1"/>
  <c r="G38" i="1"/>
  <c r="H38" i="1"/>
  <c r="E17" i="1"/>
  <c r="D21" i="1" s="1"/>
  <c r="H21" i="1" l="1"/>
  <c r="I21" i="1"/>
  <c r="E16" i="1"/>
  <c r="F7" i="1"/>
  <c r="D11" i="1" s="1"/>
  <c r="F17" i="1" l="1"/>
  <c r="H11" i="1"/>
  <c r="E32" i="1"/>
  <c r="E48" i="1" s="1"/>
  <c r="E43" i="1" s="1"/>
  <c r="E26" i="1"/>
  <c r="E31" i="1"/>
  <c r="E25" i="1"/>
  <c r="I11" i="1"/>
  <c r="F16" i="1"/>
  <c r="D26" i="1" l="1"/>
  <c r="F26" i="1"/>
  <c r="D25" i="1"/>
  <c r="E47" i="1"/>
  <c r="E42" i="1" s="1"/>
  <c r="D31" i="1"/>
  <c r="D47" i="1" s="1"/>
  <c r="D42" i="1" s="1"/>
  <c r="D32" i="1"/>
  <c r="D48" i="1" s="1"/>
  <c r="D43" i="1" s="1"/>
  <c r="F43" i="1" s="1"/>
  <c r="F42" i="1" l="1"/>
  <c r="F25" i="1"/>
  <c r="F32" i="1"/>
  <c r="H32" i="1" s="1"/>
  <c r="F48" i="1"/>
  <c r="H48" i="1" s="1"/>
  <c r="F31" i="1"/>
  <c r="H31" i="1" s="1"/>
  <c r="F47" i="1"/>
  <c r="H47" i="1" s="1"/>
  <c r="N20" i="1" l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I47" i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I31" i="1"/>
  <c r="Q51" i="1" l="1"/>
  <c r="J47" i="1" s="1"/>
  <c r="N51" i="1"/>
  <c r="J31" i="1" s="1"/>
</calcChain>
</file>

<file path=xl/sharedStrings.xml><?xml version="1.0" encoding="utf-8"?>
<sst xmlns="http://schemas.openxmlformats.org/spreadsheetml/2006/main" count="111" uniqueCount="75">
  <si>
    <t xml:space="preserve">Total </t>
  </si>
  <si>
    <t>Years</t>
  </si>
  <si>
    <t xml:space="preserve"> Offset £</t>
  </si>
  <si>
    <t xml:space="preserve"> </t>
  </si>
  <si>
    <t>Total</t>
  </si>
  <si>
    <t xml:space="preserve">Emissions Mitigation Off Set Calculation </t>
  </si>
  <si>
    <t xml:space="preserve">LAND USE </t>
  </si>
  <si>
    <t xml:space="preserve">Total Annual Trips </t>
  </si>
  <si>
    <t>HOTEL (Outer London)</t>
  </si>
  <si>
    <r>
      <t xml:space="preserve"> </t>
    </r>
    <r>
      <rPr>
        <sz val="11"/>
        <color theme="1"/>
        <rFont val="Century Gothic"/>
        <family val="2"/>
      </rPr>
      <t xml:space="preserve"> </t>
    </r>
  </si>
  <si>
    <t>GLA AQN - TRANSPORT BENCHMARK TRIP RATE</t>
  </si>
  <si>
    <t>GLA AQN - TRANSPORT BENCHMARK EMISSION RATES</t>
  </si>
  <si>
    <t>TOTAL NOx (Kg)</t>
  </si>
  <si>
    <t>TOTAL PM 2.5 (Kg)</t>
  </si>
  <si>
    <t>NOx (g/Veh-KM)</t>
  </si>
  <si>
    <t>PM 2.5 (g/Veh-KM)</t>
  </si>
  <si>
    <t>TEB Annual Trip Rate</t>
  </si>
  <si>
    <t>Average Trip Distance (KM)</t>
  </si>
  <si>
    <t xml:space="preserve">WATERMAN TRICS Calculation (Daily Trips) </t>
  </si>
  <si>
    <t xml:space="preserve">Total Calculated Annual Trips </t>
  </si>
  <si>
    <t>TRIP RATE ASSESSMENT CALCULATED (TRICS) Vs TEB</t>
  </si>
  <si>
    <t>CALCULATED TRANSPORT EMISSION RATES</t>
  </si>
  <si>
    <t>Damage Cost (£/Tonne)</t>
  </si>
  <si>
    <t>Annual Offset (£)</t>
  </si>
  <si>
    <t>Benchmark Emissions (Kg)</t>
  </si>
  <si>
    <t>Total Predicted Emissions (Kg)</t>
  </si>
  <si>
    <t>Excess Emissions (Kg)</t>
  </si>
  <si>
    <t>HOTEL (ALL VEHICLES)</t>
  </si>
  <si>
    <t>TOTAL Annual Offset (£)</t>
  </si>
  <si>
    <t>TOTAL Offset (£)</t>
  </si>
  <si>
    <r>
      <t>GIA (M</t>
    </r>
    <r>
      <rPr>
        <b/>
        <i/>
        <vertAlign val="superscript"/>
        <sz val="11"/>
        <color theme="1"/>
        <rFont val="Calibri"/>
        <family val="2"/>
        <scheme val="minor"/>
      </rPr>
      <t>2</t>
    </r>
    <r>
      <rPr>
        <b/>
        <i/>
        <sz val="11"/>
        <color theme="1"/>
        <rFont val="Calibri"/>
        <family val="2"/>
        <scheme val="minor"/>
      </rPr>
      <t>)</t>
    </r>
  </si>
  <si>
    <r>
      <t>TEB (Trips/M</t>
    </r>
    <r>
      <rPr>
        <b/>
        <i/>
        <vertAlign val="superscript"/>
        <sz val="11"/>
        <color theme="1"/>
        <rFont val="Calibri"/>
        <family val="2"/>
        <scheme val="minor"/>
      </rPr>
      <t>2</t>
    </r>
    <r>
      <rPr>
        <b/>
        <i/>
        <sz val="11"/>
        <color theme="1"/>
        <rFont val="Calibri"/>
        <family val="2"/>
        <scheme val="minor"/>
      </rPr>
      <t xml:space="preserve">/Annum) </t>
    </r>
  </si>
  <si>
    <t>Total Est Reduction</t>
  </si>
  <si>
    <t>Description</t>
  </si>
  <si>
    <t>Reduced Trips (Daily)</t>
  </si>
  <si>
    <t>Reduced Trips (Annual)</t>
  </si>
  <si>
    <t>PM 2.5 Reduction (Kg)</t>
  </si>
  <si>
    <t>NOx  Reduction (Kg)</t>
  </si>
  <si>
    <t>Annual Offset Cost Reduction (£)</t>
  </si>
  <si>
    <t xml:space="preserve">TOYOKO INN - HOTEL </t>
  </si>
  <si>
    <t>TRANSPORT EMISSION COMPARISON CALCULATED VS TEB</t>
  </si>
  <si>
    <t xml:space="preserve">Difference Calculated VS TEB Annual Trips </t>
  </si>
  <si>
    <t xml:space="preserve">Use of Hotel Hoppa bus service </t>
  </si>
  <si>
    <t xml:space="preserve">20% mode shift from car use </t>
  </si>
  <si>
    <t xml:space="preserve">Use of regular local bus services </t>
  </si>
  <si>
    <t>Without Mode Shift Mitigation</t>
  </si>
  <si>
    <t>With Mode Shift Mitigation</t>
  </si>
  <si>
    <t xml:space="preserve">Staff parking reduction </t>
  </si>
  <si>
    <t xml:space="preserve">Estimated Reduction in Emission-generating Trips </t>
  </si>
  <si>
    <t xml:space="preserve">Mitigation Measure </t>
  </si>
  <si>
    <t xml:space="preserve">Volume </t>
  </si>
  <si>
    <t>Park, Stay and Fly dedicated 
parking</t>
  </si>
  <si>
    <t xml:space="preserve">EV Space Provision </t>
  </si>
  <si>
    <t>Use of ZEV Taxis</t>
  </si>
  <si>
    <t xml:space="preserve">Delivery &amp; Servicing ZEV 
management </t>
  </si>
  <si>
    <t>17 spaces</t>
  </si>
  <si>
    <t>38 spaces</t>
  </si>
  <si>
    <t xml:space="preserve">50% use of ZEVs </t>
  </si>
  <si>
    <t xml:space="preserve">10% staff parking space 
provision (6 spaces) from the 
outset (reduction from 68% 
baseline requirement, 41 
spaces) </t>
  </si>
  <si>
    <t>Total Reduction in Emission-Generating
Trips =</t>
  </si>
  <si>
    <t xml:space="preserve">WATERMAN VEHICLE TRIP MITIGATION ANALYSIS - Table 3: Reductions in Emission-Based Vehicle Trips due to Physical Mitigation Measures </t>
  </si>
  <si>
    <t xml:space="preserve">WATERMAN VEHICLE TRIP MITIGATION ANALYSIS - Table 4: Reductions in Emission-Based Vehicle Trips due to Mode Shift Mitigation Measures </t>
  </si>
  <si>
    <t>TRANSPORT NOx (ALL VEHICLES INC EPM)</t>
  </si>
  <si>
    <t>TRANSPORT PM2.5 (ALL VEHICLES INC EPM)</t>
  </si>
  <si>
    <t>HOTEL (ALL VEHICLES - INC EMBEDDED PHYSICAL MITIGATIONS [EPM]</t>
  </si>
  <si>
    <t>Mode Shift  Mitigation [MSM} Measure</t>
  </si>
  <si>
    <t xml:space="preserve">MODE SHIFT MITIGATION MEASURES [MSM] &amp; EMISSION REDUCTION CALCULATIONS </t>
  </si>
  <si>
    <t>TRANSPORT EMISSION COMPARISON CALCULATED VS TEB (INCLUDING MODE SHIFT MITIGATION [MSM] MEASURES</t>
  </si>
  <si>
    <r>
      <t xml:space="preserve">TRANSPORT NOx </t>
    </r>
    <r>
      <rPr>
        <b/>
        <sz val="11"/>
        <color theme="1"/>
        <rFont val="Calibri"/>
        <family val="2"/>
        <scheme val="minor"/>
      </rPr>
      <t>(ALL VEHICLES INC EPM + MSM)</t>
    </r>
  </si>
  <si>
    <r>
      <t xml:space="preserve">TRANSPORT PM2.5 </t>
    </r>
    <r>
      <rPr>
        <b/>
        <sz val="11"/>
        <color theme="1"/>
        <rFont val="Calibri"/>
        <family val="2"/>
        <scheme val="minor"/>
      </rPr>
      <t>(ALL VEHICLES INC EPM + MSM)</t>
    </r>
  </si>
  <si>
    <r>
      <t>TRANSPORT PM2.5 (</t>
    </r>
    <r>
      <rPr>
        <b/>
        <sz val="11"/>
        <color theme="1"/>
        <rFont val="Calibri"/>
        <family val="2"/>
        <scheme val="minor"/>
      </rPr>
      <t>ALL VEHICLES INC EPM ONLY</t>
    </r>
    <r>
      <rPr>
        <sz val="11"/>
        <color theme="1"/>
        <rFont val="Calibri"/>
        <family val="2"/>
        <scheme val="minor"/>
      </rPr>
      <t>)</t>
    </r>
  </si>
  <si>
    <r>
      <t>TRANSPORT NOx (</t>
    </r>
    <r>
      <rPr>
        <b/>
        <sz val="11"/>
        <color theme="1"/>
        <rFont val="Calibri"/>
        <family val="2"/>
        <scheme val="minor"/>
      </rPr>
      <t xml:space="preserve">ALL VEHICLES INC EPM ONLY </t>
    </r>
    <r>
      <rPr>
        <sz val="11"/>
        <color theme="1"/>
        <rFont val="Calibri"/>
        <family val="2"/>
        <scheme val="minor"/>
      </rPr>
      <t>)</t>
    </r>
  </si>
  <si>
    <t xml:space="preserve">TRANSPORT EMISSION OFFSET CALCULATION (EXCLUDING - MODE SHIFT MITIGATION [MSM] MEASURES) </t>
  </si>
  <si>
    <t xml:space="preserve">TRANSPORT EMISSION OFFSET CALCULATION (INCLUDING - MODE SHIFT MITIGATION [MSM] MEASURES) </t>
  </si>
  <si>
    <t>AQN CALCULATIONS - 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</si>
</sst>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#,##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000000"/>
      <name val="Calibri"/>
      <family val="2"/>
    </font>
    <font>
      <sz val="11"/>
      <color rgb="FF575757"/>
      <name val="Calibri"/>
      <family val="2"/>
    </font>
    <font>
      <b/>
      <sz val="11"/>
      <color rgb="FF575757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DEC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8" fillId="0" borderId="1" xfId="0" applyFont="1" applyBorder="1" applyAlignment="1">
      <alignment horizontal="right" vertical="center" wrapText="1"/>
    </xf>
    <xf numFmtId="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9" xfId="0" applyBorder="1"/>
    <xf numFmtId="164" fontId="0" fillId="0" borderId="10" xfId="0" applyNumberFormat="1" applyBorder="1"/>
    <xf numFmtId="0" fontId="4" fillId="0" borderId="0" xfId="0" applyFont="1"/>
    <xf numFmtId="0" fontId="1" fillId="2" borderId="7" xfId="0" applyFont="1" applyFill="1" applyBorder="1"/>
    <xf numFmtId="0" fontId="0" fillId="2" borderId="8" xfId="0" applyFill="1" applyBorder="1"/>
    <xf numFmtId="0" fontId="4" fillId="2" borderId="9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0" fillId="2" borderId="4" xfId="0" applyFill="1" applyBorder="1"/>
    <xf numFmtId="0" fontId="0" fillId="2" borderId="6" xfId="0" applyFill="1" applyBorder="1"/>
    <xf numFmtId="0" fontId="0" fillId="2" borderId="0" xfId="0" applyFill="1"/>
    <xf numFmtId="0" fontId="4" fillId="2" borderId="0" xfId="0" applyFont="1" applyFill="1"/>
    <xf numFmtId="0" fontId="4" fillId="2" borderId="10" xfId="0" applyFont="1" applyFill="1" applyBorder="1" applyAlignment="1">
      <alignment horizontal="right"/>
    </xf>
    <xf numFmtId="0" fontId="1" fillId="0" borderId="11" xfId="0" applyFont="1" applyBorder="1"/>
    <xf numFmtId="164" fontId="1" fillId="0" borderId="12" xfId="0" applyNumberFormat="1" applyFont="1" applyBorder="1"/>
    <xf numFmtId="0" fontId="1" fillId="0" borderId="5" xfId="0" applyFont="1" applyBorder="1"/>
    <xf numFmtId="0" fontId="1" fillId="0" borderId="12" xfId="0" applyFont="1" applyBorder="1"/>
    <xf numFmtId="164" fontId="1" fillId="0" borderId="13" xfId="0" applyNumberFormat="1" applyFont="1" applyBorder="1"/>
    <xf numFmtId="0" fontId="4" fillId="2" borderId="18" xfId="0" applyFont="1" applyFill="1" applyBorder="1"/>
    <xf numFmtId="0" fontId="4" fillId="2" borderId="19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4" fontId="0" fillId="0" borderId="12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0" fontId="1" fillId="2" borderId="3" xfId="0" applyFont="1" applyFill="1" applyBorder="1" applyAlignment="1">
      <alignment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4" fontId="9" fillId="0" borderId="12" xfId="0" applyNumberFormat="1" applyFont="1" applyBorder="1" applyAlignment="1">
      <alignment vertical="center" wrapText="1"/>
    </xf>
    <xf numFmtId="164" fontId="1" fillId="0" borderId="13" xfId="0" applyNumberFormat="1" applyFont="1" applyBorder="1" applyAlignment="1">
      <alignment vertical="center"/>
    </xf>
    <xf numFmtId="0" fontId="4" fillId="2" borderId="18" xfId="0" applyFont="1" applyFill="1" applyBorder="1" applyAlignment="1">
      <alignment wrapText="1"/>
    </xf>
    <xf numFmtId="4" fontId="0" fillId="0" borderId="10" xfId="0" applyNumberFormat="1" applyBorder="1" applyAlignment="1">
      <alignment vertical="center"/>
    </xf>
    <xf numFmtId="0" fontId="0" fillId="0" borderId="11" xfId="0" applyBorder="1" applyAlignment="1">
      <alignment vertical="center" wrapText="1"/>
    </xf>
    <xf numFmtId="4" fontId="0" fillId="0" borderId="12" xfId="0" applyNumberFormat="1" applyBorder="1" applyAlignment="1">
      <alignment vertical="center" wrapText="1"/>
    </xf>
    <xf numFmtId="165" fontId="0" fillId="0" borderId="12" xfId="0" applyNumberFormat="1" applyBorder="1" applyAlignment="1">
      <alignment vertical="center" wrapText="1"/>
    </xf>
    <xf numFmtId="4" fontId="0" fillId="0" borderId="13" xfId="0" applyNumberFormat="1" applyBorder="1" applyAlignment="1">
      <alignment vertical="center"/>
    </xf>
    <xf numFmtId="4" fontId="0" fillId="0" borderId="13" xfId="0" applyNumberFormat="1" applyBorder="1" applyAlignment="1">
      <alignment vertical="center" wrapText="1"/>
    </xf>
    <xf numFmtId="4" fontId="9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/>
    </xf>
    <xf numFmtId="4" fontId="9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" fontId="11" fillId="0" borderId="1" xfId="0" applyNumberFormat="1" applyFont="1" applyBorder="1" applyAlignment="1">
      <alignment horizontal="right" vertical="center" wrapText="1"/>
    </xf>
    <xf numFmtId="1" fontId="11" fillId="0" borderId="10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vertical="center" wrapText="1"/>
    </xf>
    <xf numFmtId="1" fontId="12" fillId="0" borderId="13" xfId="0" applyNumberFormat="1" applyFont="1" applyBorder="1" applyAlignment="1">
      <alignment horizontal="right" vertical="center" wrapText="1"/>
    </xf>
    <xf numFmtId="164" fontId="0" fillId="0" borderId="2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164" fontId="10" fillId="0" borderId="21" xfId="0" applyNumberFormat="1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64" fontId="0" fillId="0" borderId="21" xfId="0" applyNumberForma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E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615C-1A68-40D5-A216-D4F86198EA11}">
  <dimension ref="C1:Q76"/>
  <sheetViews>
    <sheetView tabSelected="1" topLeftCell="B1" zoomScale="55" zoomScaleNormal="55" workbookViewId="0">
      <selection activeCell="J59" sqref="J59"/>
    </sheetView>
  </sheetViews>
  <sheetFormatPr defaultRowHeight="14.4" x14ac:dyDescent="0.3"/>
  <cols>
    <col min="2" max="2" width="8.88671875" customWidth="1"/>
    <col min="3" max="3" width="70.88671875" customWidth="1"/>
    <col min="4" max="4" width="36.6640625" customWidth="1"/>
    <col min="5" max="5" width="48.6640625" bestFit="1" customWidth="1"/>
    <col min="6" max="6" width="28.44140625" bestFit="1" customWidth="1"/>
    <col min="7" max="7" width="27.5546875" customWidth="1"/>
    <col min="8" max="8" width="28.44140625" customWidth="1"/>
    <col min="9" max="9" width="24" customWidth="1"/>
    <col min="10" max="10" width="21.5546875" bestFit="1" customWidth="1"/>
    <col min="11" max="11" width="13.88671875" bestFit="1" customWidth="1"/>
    <col min="13" max="13" width="21.109375" customWidth="1"/>
    <col min="14" max="14" width="23.44140625" customWidth="1"/>
    <col min="15" max="15" width="3" customWidth="1"/>
    <col min="16" max="16" width="23" customWidth="1"/>
    <col min="17" max="17" width="27.5546875" customWidth="1"/>
  </cols>
  <sheetData>
    <row r="1" spans="3:13" ht="15" thickBot="1" x14ac:dyDescent="0.35"/>
    <row r="2" spans="3:13" ht="15" thickBot="1" x14ac:dyDescent="0.35">
      <c r="C2" s="39" t="s">
        <v>39</v>
      </c>
      <c r="D2" s="39" t="s">
        <v>74</v>
      </c>
      <c r="E2" s="1"/>
    </row>
    <row r="4" spans="3:13" ht="15" thickBot="1" x14ac:dyDescent="0.35">
      <c r="C4" s="2" t="s">
        <v>9</v>
      </c>
    </row>
    <row r="5" spans="3:13" ht="15" thickBot="1" x14ac:dyDescent="0.35">
      <c r="C5" s="39" t="s">
        <v>10</v>
      </c>
      <c r="D5" s="3"/>
      <c r="E5" s="3"/>
      <c r="F5" s="3"/>
    </row>
    <row r="6" spans="3:13" ht="16.2" x14ac:dyDescent="0.3">
      <c r="C6" s="49" t="s">
        <v>6</v>
      </c>
      <c r="D6" s="33" t="s">
        <v>30</v>
      </c>
      <c r="E6" s="33" t="s">
        <v>31</v>
      </c>
      <c r="F6" s="34" t="s">
        <v>7</v>
      </c>
    </row>
    <row r="7" spans="3:13" ht="15" thickBot="1" x14ac:dyDescent="0.35">
      <c r="C7" s="51" t="s">
        <v>8</v>
      </c>
      <c r="D7" s="52">
        <v>6528</v>
      </c>
      <c r="E7" s="52">
        <v>6.9</v>
      </c>
      <c r="F7" s="55">
        <f>D7*E7</f>
        <v>45043.200000000004</v>
      </c>
    </row>
    <row r="8" spans="3:13" ht="15" thickBot="1" x14ac:dyDescent="0.35">
      <c r="C8" s="3"/>
      <c r="D8" s="3"/>
      <c r="E8" s="3"/>
      <c r="F8" s="3"/>
    </row>
    <row r="9" spans="3:13" ht="15" thickBot="1" x14ac:dyDescent="0.35">
      <c r="C9" s="39" t="s">
        <v>11</v>
      </c>
      <c r="D9" s="3"/>
      <c r="E9" s="3"/>
      <c r="F9" s="3"/>
    </row>
    <row r="10" spans="3:13" x14ac:dyDescent="0.3">
      <c r="C10" s="49" t="s">
        <v>6</v>
      </c>
      <c r="D10" s="33" t="s">
        <v>16</v>
      </c>
      <c r="E10" s="33" t="s">
        <v>17</v>
      </c>
      <c r="F10" s="33" t="s">
        <v>14</v>
      </c>
      <c r="G10" s="33" t="s">
        <v>15</v>
      </c>
      <c r="H10" s="33" t="s">
        <v>12</v>
      </c>
      <c r="I10" s="34" t="s">
        <v>13</v>
      </c>
    </row>
    <row r="11" spans="3:13" ht="15" thickBot="1" x14ac:dyDescent="0.35">
      <c r="C11" s="51" t="s">
        <v>8</v>
      </c>
      <c r="D11" s="52">
        <f>F7</f>
        <v>45043.200000000004</v>
      </c>
      <c r="E11" s="52">
        <v>10.8</v>
      </c>
      <c r="F11" s="53">
        <v>0.35</v>
      </c>
      <c r="G11" s="53">
        <v>2.8000000000000001E-2</v>
      </c>
      <c r="H11" s="37">
        <f>(F11/1000)*E11*D11</f>
        <v>170.26329600000003</v>
      </c>
      <c r="I11" s="54">
        <f>(G11/1000)*E11*D11</f>
        <v>13.621063680000002</v>
      </c>
    </row>
    <row r="13" spans="3:13" ht="15" thickBot="1" x14ac:dyDescent="0.35"/>
    <row r="14" spans="3:13" ht="15" thickBot="1" x14ac:dyDescent="0.35">
      <c r="C14" s="39" t="s">
        <v>20</v>
      </c>
      <c r="D14" s="3"/>
      <c r="E14" s="3"/>
      <c r="F14" s="3"/>
    </row>
    <row r="15" spans="3:13" ht="28.8" x14ac:dyDescent="0.3">
      <c r="C15" s="49"/>
      <c r="D15" s="33" t="s">
        <v>18</v>
      </c>
      <c r="E15" s="33" t="s">
        <v>19</v>
      </c>
      <c r="F15" s="34" t="s">
        <v>41</v>
      </c>
    </row>
    <row r="16" spans="3:13" ht="16.2" customHeight="1" thickBot="1" x14ac:dyDescent="0.35">
      <c r="C16" s="43" t="s">
        <v>27</v>
      </c>
      <c r="D16" s="10">
        <v>511</v>
      </c>
      <c r="E16" s="10">
        <f>D16*365</f>
        <v>186515</v>
      </c>
      <c r="F16" s="50">
        <f>E16-D11</f>
        <v>141471.79999999999</v>
      </c>
      <c r="M16" s="6" t="s">
        <v>5</v>
      </c>
    </row>
    <row r="17" spans="3:17" ht="34.950000000000003" customHeight="1" thickBot="1" x14ac:dyDescent="0.35">
      <c r="C17" s="51" t="s">
        <v>64</v>
      </c>
      <c r="D17" s="52">
        <v>230</v>
      </c>
      <c r="E17" s="52">
        <f>D17*365</f>
        <v>83950</v>
      </c>
      <c r="F17" s="54">
        <f>E17-D11</f>
        <v>38906.799999999996</v>
      </c>
      <c r="M17" s="18" t="str">
        <f>C17</f>
        <v>HOTEL (ALL VEHICLES - INC EMBEDDED PHYSICAL MITIGATIONS [EPM]</v>
      </c>
      <c r="N17" s="19"/>
      <c r="O17" s="22"/>
      <c r="P17" s="19"/>
      <c r="Q17" s="23"/>
    </row>
    <row r="18" spans="3:17" ht="15" thickBot="1" x14ac:dyDescent="0.35">
      <c r="M18" s="74" t="s">
        <v>45</v>
      </c>
      <c r="N18" s="75"/>
      <c r="O18" s="24"/>
      <c r="P18" s="72" t="s">
        <v>46</v>
      </c>
      <c r="Q18" s="73"/>
    </row>
    <row r="19" spans="3:17" ht="31.2" customHeight="1" thickBot="1" x14ac:dyDescent="0.35">
      <c r="C19" s="39" t="s">
        <v>21</v>
      </c>
      <c r="D19" s="3"/>
      <c r="E19" s="3"/>
      <c r="F19" s="3"/>
      <c r="L19" s="17"/>
      <c r="M19" s="20" t="s">
        <v>1</v>
      </c>
      <c r="N19" s="21" t="s">
        <v>2</v>
      </c>
      <c r="O19" s="25" t="s">
        <v>3</v>
      </c>
      <c r="P19" s="21" t="s">
        <v>1</v>
      </c>
      <c r="Q19" s="26" t="s">
        <v>2</v>
      </c>
    </row>
    <row r="20" spans="3:17" x14ac:dyDescent="0.3">
      <c r="C20" s="49" t="s">
        <v>6</v>
      </c>
      <c r="D20" s="33" t="s">
        <v>19</v>
      </c>
      <c r="E20" s="33" t="s">
        <v>17</v>
      </c>
      <c r="F20" s="33" t="s">
        <v>14</v>
      </c>
      <c r="G20" s="33" t="s">
        <v>15</v>
      </c>
      <c r="H20" s="33" t="s">
        <v>12</v>
      </c>
      <c r="I20" s="34" t="s">
        <v>13</v>
      </c>
      <c r="M20" s="15">
        <v>1</v>
      </c>
      <c r="N20" s="5">
        <f>H31+H32</f>
        <v>10045.606589424</v>
      </c>
      <c r="P20" s="4">
        <v>1</v>
      </c>
      <c r="Q20" s="16">
        <f>I47</f>
        <v>-4090.6616405759996</v>
      </c>
    </row>
    <row r="21" spans="3:17" ht="40.200000000000003" customHeight="1" thickBot="1" x14ac:dyDescent="0.35">
      <c r="C21" s="51" t="str">
        <f>C17</f>
        <v>HOTEL (ALL VEHICLES - INC EMBEDDED PHYSICAL MITIGATIONS [EPM]</v>
      </c>
      <c r="D21" s="52">
        <f>E17</f>
        <v>83950</v>
      </c>
      <c r="E21" s="52">
        <v>10.8</v>
      </c>
      <c r="F21" s="53">
        <v>0.35</v>
      </c>
      <c r="G21" s="53">
        <v>2.8000000000000001E-2</v>
      </c>
      <c r="H21" s="37">
        <f>(F21/1000)*E21*D21</f>
        <v>317.33100000000002</v>
      </c>
      <c r="I21" s="54">
        <f>(G21/1000)*E21*D21</f>
        <v>25.386480000000002</v>
      </c>
      <c r="M21" s="15">
        <v>2</v>
      </c>
      <c r="N21" s="5">
        <f>N20*1.02</f>
        <v>10246.51872121248</v>
      </c>
      <c r="P21" s="4">
        <v>2</v>
      </c>
      <c r="Q21" s="16">
        <f>Q20*1.02</f>
        <v>-4172.4748733875194</v>
      </c>
    </row>
    <row r="22" spans="3:17" ht="24.75" customHeight="1" thickBot="1" x14ac:dyDescent="0.35">
      <c r="C22" s="57"/>
      <c r="D22" s="58"/>
      <c r="E22" s="58"/>
      <c r="F22" s="59"/>
      <c r="G22" s="59"/>
      <c r="H22" s="60"/>
      <c r="I22" s="60"/>
      <c r="M22" s="15">
        <v>3</v>
      </c>
      <c r="N22" s="5">
        <f>N21*1.02</f>
        <v>10451.44909563673</v>
      </c>
      <c r="P22" s="4">
        <v>3</v>
      </c>
      <c r="Q22" s="16">
        <f>Q21*1.02</f>
        <v>-4255.9243708552704</v>
      </c>
    </row>
    <row r="23" spans="3:17" ht="15" thickBot="1" x14ac:dyDescent="0.35">
      <c r="C23" s="39" t="s">
        <v>40</v>
      </c>
      <c r="G23" s="59"/>
      <c r="H23" s="60"/>
      <c r="I23" s="60"/>
      <c r="M23" s="15">
        <v>4</v>
      </c>
      <c r="N23" s="5">
        <f t="shared" ref="N23:N49" si="0">N22*1.02</f>
        <v>10660.478077549466</v>
      </c>
      <c r="P23" s="4">
        <v>4</v>
      </c>
      <c r="Q23" s="16">
        <f t="shared" ref="Q23:Q49" si="1">Q22*1.02</f>
        <v>-4341.0428582723762</v>
      </c>
    </row>
    <row r="24" spans="3:17" ht="43.95" customHeight="1" x14ac:dyDescent="0.3">
      <c r="C24" s="32"/>
      <c r="D24" s="33" t="s">
        <v>24</v>
      </c>
      <c r="E24" s="33" t="s">
        <v>25</v>
      </c>
      <c r="F24" s="34" t="s">
        <v>26</v>
      </c>
      <c r="G24" s="59"/>
      <c r="H24" s="60"/>
      <c r="I24" s="60"/>
      <c r="M24" s="15">
        <v>5</v>
      </c>
      <c r="N24" s="5">
        <f t="shared" si="0"/>
        <v>10873.687639100455</v>
      </c>
      <c r="P24" s="4">
        <v>5</v>
      </c>
      <c r="Q24" s="16">
        <f t="shared" si="1"/>
        <v>-4427.8637154378239</v>
      </c>
    </row>
    <row r="25" spans="3:17" x14ac:dyDescent="0.3">
      <c r="C25" s="35" t="s">
        <v>62</v>
      </c>
      <c r="D25" s="8">
        <f>H11</f>
        <v>170.26329600000003</v>
      </c>
      <c r="E25" s="8">
        <f>H21</f>
        <v>317.33100000000002</v>
      </c>
      <c r="F25" s="50">
        <f>E25-D25</f>
        <v>147.06770399999999</v>
      </c>
      <c r="G25" s="59"/>
      <c r="H25" s="60"/>
      <c r="I25" s="60"/>
      <c r="M25" s="15">
        <v>6</v>
      </c>
      <c r="N25" s="5">
        <f t="shared" si="0"/>
        <v>11091.161391882464</v>
      </c>
      <c r="P25" s="4">
        <v>6</v>
      </c>
      <c r="Q25" s="16">
        <f t="shared" si="1"/>
        <v>-4516.4209897465807</v>
      </c>
    </row>
    <row r="26" spans="3:17" ht="15" thickBot="1" x14ac:dyDescent="0.35">
      <c r="C26" s="36" t="s">
        <v>63</v>
      </c>
      <c r="D26" s="37">
        <f>I11</f>
        <v>13.621063680000002</v>
      </c>
      <c r="E26" s="37">
        <f>I21</f>
        <v>25.386480000000002</v>
      </c>
      <c r="F26" s="54">
        <f>E26-D26</f>
        <v>11.76541632</v>
      </c>
      <c r="G26" s="59"/>
      <c r="H26" s="60"/>
      <c r="I26" s="60"/>
      <c r="M26" s="15">
        <v>7</v>
      </c>
      <c r="N26" s="5">
        <f t="shared" si="0"/>
        <v>11312.984619720113</v>
      </c>
      <c r="P26" s="4">
        <v>7</v>
      </c>
      <c r="Q26" s="16">
        <f t="shared" si="1"/>
        <v>-4606.7494095415123</v>
      </c>
    </row>
    <row r="27" spans="3:17" x14ac:dyDescent="0.3">
      <c r="M27" s="15">
        <v>8</v>
      </c>
      <c r="N27" s="5">
        <f t="shared" si="0"/>
        <v>11539.244312114515</v>
      </c>
      <c r="P27" s="4">
        <v>8</v>
      </c>
      <c r="Q27" s="16">
        <f t="shared" si="1"/>
        <v>-4698.8843977323422</v>
      </c>
    </row>
    <row r="28" spans="3:17" ht="15" thickBot="1" x14ac:dyDescent="0.35">
      <c r="M28" s="15">
        <v>9</v>
      </c>
      <c r="N28" s="5">
        <f t="shared" si="0"/>
        <v>11770.029198356806</v>
      </c>
      <c r="P28" s="4">
        <v>9</v>
      </c>
      <c r="Q28" s="16">
        <f t="shared" si="1"/>
        <v>-4792.8620856869893</v>
      </c>
    </row>
    <row r="29" spans="3:17" ht="51" customHeight="1" thickBot="1" x14ac:dyDescent="0.35">
      <c r="C29" s="39" t="s">
        <v>72</v>
      </c>
      <c r="M29" s="15">
        <v>10</v>
      </c>
      <c r="N29" s="5">
        <f t="shared" si="0"/>
        <v>12005.429782323943</v>
      </c>
      <c r="P29" s="4">
        <v>10</v>
      </c>
      <c r="Q29" s="16">
        <f t="shared" si="1"/>
        <v>-4888.7193274007295</v>
      </c>
    </row>
    <row r="30" spans="3:17" x14ac:dyDescent="0.3">
      <c r="C30" s="32"/>
      <c r="D30" s="33" t="s">
        <v>24</v>
      </c>
      <c r="E30" s="33" t="s">
        <v>25</v>
      </c>
      <c r="F30" s="33" t="s">
        <v>26</v>
      </c>
      <c r="G30" s="33" t="s">
        <v>22</v>
      </c>
      <c r="H30" s="33" t="s">
        <v>23</v>
      </c>
      <c r="I30" s="33" t="s">
        <v>28</v>
      </c>
      <c r="J30" s="34" t="s">
        <v>29</v>
      </c>
      <c r="M30" s="15">
        <v>11</v>
      </c>
      <c r="N30" s="5">
        <f t="shared" si="0"/>
        <v>12245.538377970423</v>
      </c>
      <c r="P30" s="4">
        <v>11</v>
      </c>
      <c r="Q30" s="16">
        <f t="shared" si="1"/>
        <v>-4986.4937139487438</v>
      </c>
    </row>
    <row r="31" spans="3:17" x14ac:dyDescent="0.3">
      <c r="C31" s="35" t="s">
        <v>71</v>
      </c>
      <c r="D31" s="8">
        <f>H11</f>
        <v>170.26329600000003</v>
      </c>
      <c r="E31" s="8">
        <f>H21</f>
        <v>317.33100000000002</v>
      </c>
      <c r="F31" s="8">
        <f>E31-D31</f>
        <v>147.06770399999999</v>
      </c>
      <c r="G31" s="9">
        <v>40048</v>
      </c>
      <c r="H31" s="9">
        <f>G31*(F31/1000)</f>
        <v>5889.7674097919999</v>
      </c>
      <c r="I31" s="68">
        <f>H32+H31</f>
        <v>10045.606589424</v>
      </c>
      <c r="J31" s="76">
        <f>N51</f>
        <v>407530.9637837073</v>
      </c>
      <c r="M31" s="15">
        <v>12</v>
      </c>
      <c r="N31" s="5">
        <f t="shared" si="0"/>
        <v>12490.44914552983</v>
      </c>
      <c r="P31" s="4">
        <v>12</v>
      </c>
      <c r="Q31" s="16">
        <f t="shared" si="1"/>
        <v>-5086.2235882277191</v>
      </c>
    </row>
    <row r="32" spans="3:17" ht="15" thickBot="1" x14ac:dyDescent="0.35">
      <c r="C32" s="36" t="s">
        <v>70</v>
      </c>
      <c r="D32" s="37">
        <f>I11</f>
        <v>13.621063680000002</v>
      </c>
      <c r="E32" s="37">
        <f>I21</f>
        <v>25.386480000000002</v>
      </c>
      <c r="F32" s="37">
        <f>E32-D32</f>
        <v>11.76541632</v>
      </c>
      <c r="G32" s="38">
        <v>353225</v>
      </c>
      <c r="H32" s="38">
        <f>G32*(F32/1000)</f>
        <v>4155.8391796320002</v>
      </c>
      <c r="I32" s="69"/>
      <c r="J32" s="77"/>
      <c r="M32" s="15">
        <v>13</v>
      </c>
      <c r="N32" s="5">
        <f>N31*1.02</f>
        <v>12740.258128440428</v>
      </c>
      <c r="P32" s="4">
        <v>13</v>
      </c>
      <c r="Q32" s="16">
        <f>Q31*1.02</f>
        <v>-5187.9480599922736</v>
      </c>
    </row>
    <row r="33" spans="3:17" ht="15" thickBot="1" x14ac:dyDescent="0.35">
      <c r="M33" s="15">
        <v>14</v>
      </c>
      <c r="N33" s="5">
        <f t="shared" si="0"/>
        <v>12995.063291009237</v>
      </c>
      <c r="P33" s="4">
        <v>14</v>
      </c>
      <c r="Q33" s="16">
        <f t="shared" si="1"/>
        <v>-5291.7070211921191</v>
      </c>
    </row>
    <row r="34" spans="3:17" ht="31.95" customHeight="1" thickBot="1" x14ac:dyDescent="0.35">
      <c r="C34" s="39" t="s">
        <v>66</v>
      </c>
      <c r="M34" s="15">
        <v>15</v>
      </c>
      <c r="N34" s="5">
        <f t="shared" si="0"/>
        <v>13254.964556829422</v>
      </c>
      <c r="P34" s="4">
        <v>15</v>
      </c>
      <c r="Q34" s="16">
        <f t="shared" si="1"/>
        <v>-5397.5411616159618</v>
      </c>
    </row>
    <row r="35" spans="3:17" ht="28.8" x14ac:dyDescent="0.3">
      <c r="C35" s="40" t="s">
        <v>65</v>
      </c>
      <c r="D35" s="41" t="s">
        <v>33</v>
      </c>
      <c r="E35" s="41" t="s">
        <v>34</v>
      </c>
      <c r="F35" s="41" t="s">
        <v>35</v>
      </c>
      <c r="G35" s="41" t="s">
        <v>37</v>
      </c>
      <c r="H35" s="41" t="s">
        <v>36</v>
      </c>
      <c r="I35" s="42" t="s">
        <v>38</v>
      </c>
      <c r="M35" s="15">
        <v>16</v>
      </c>
      <c r="N35" s="5">
        <f t="shared" si="0"/>
        <v>13520.06384796601</v>
      </c>
      <c r="P35" s="4">
        <v>16</v>
      </c>
      <c r="Q35" s="16">
        <f t="shared" si="1"/>
        <v>-5505.4919848482814</v>
      </c>
    </row>
    <row r="36" spans="3:17" x14ac:dyDescent="0.3">
      <c r="C36" s="43" t="s">
        <v>42</v>
      </c>
      <c r="D36" s="11" t="s">
        <v>43</v>
      </c>
      <c r="E36" s="64">
        <v>75</v>
      </c>
      <c r="F36" s="7">
        <f>E36*365</f>
        <v>27375</v>
      </c>
      <c r="G36" s="8">
        <f>(E21/1000)*F21*F36</f>
        <v>103.47749999999999</v>
      </c>
      <c r="H36" s="8">
        <f>(E21/1000)*G21*F36</f>
        <v>8.2782</v>
      </c>
      <c r="I36" s="44">
        <f>(G31*(G36/1000)) +(G32*(H36/1000))</f>
        <v>7068.1341149999989</v>
      </c>
      <c r="M36" s="15">
        <v>17</v>
      </c>
      <c r="N36" s="5">
        <f t="shared" si="0"/>
        <v>13790.465124925331</v>
      </c>
      <c r="P36" s="4">
        <v>17</v>
      </c>
      <c r="Q36" s="16">
        <f t="shared" si="1"/>
        <v>-5615.6018245452469</v>
      </c>
    </row>
    <row r="37" spans="3:17" x14ac:dyDescent="0.3">
      <c r="C37" s="43" t="s">
        <v>44</v>
      </c>
      <c r="D37" s="11" t="s">
        <v>43</v>
      </c>
      <c r="E37" s="64">
        <v>75</v>
      </c>
      <c r="F37" s="7">
        <f>E37*365</f>
        <v>27375</v>
      </c>
      <c r="G37" s="8">
        <f>(E21/1000)*F21*F37</f>
        <v>103.47749999999999</v>
      </c>
      <c r="H37" s="8">
        <f>(E21/1000)*G21*F37</f>
        <v>8.2782</v>
      </c>
      <c r="I37" s="44">
        <f>(G31*(G37/1000)) +(G32*(H37/1000))</f>
        <v>7068.1341149999989</v>
      </c>
      <c r="M37" s="15">
        <v>18</v>
      </c>
      <c r="N37" s="5">
        <f t="shared" si="0"/>
        <v>14066.274427423838</v>
      </c>
      <c r="P37" s="4">
        <v>18</v>
      </c>
      <c r="Q37" s="16">
        <f t="shared" si="1"/>
        <v>-5727.9138610361524</v>
      </c>
    </row>
    <row r="38" spans="3:17" ht="33.75" customHeight="1" thickBot="1" x14ac:dyDescent="0.35">
      <c r="C38" s="45" t="s">
        <v>32</v>
      </c>
      <c r="D38" s="46"/>
      <c r="E38" s="47">
        <f>SUM(E36:E37)</f>
        <v>150</v>
      </c>
      <c r="F38" s="56">
        <f>SUM(F36:F37)</f>
        <v>54750</v>
      </c>
      <c r="G38" s="47">
        <f>SUM(G36:G37)</f>
        <v>206.95499999999998</v>
      </c>
      <c r="H38" s="47">
        <f>SUM(H36:H37)</f>
        <v>16.5564</v>
      </c>
      <c r="I38" s="48">
        <f>SUM(I36:I37)</f>
        <v>14136.268229999998</v>
      </c>
      <c r="M38" s="15">
        <v>19</v>
      </c>
      <c r="N38" s="5">
        <f t="shared" si="0"/>
        <v>14347.599915972314</v>
      </c>
      <c r="P38" s="4">
        <v>19</v>
      </c>
      <c r="Q38" s="16">
        <f t="shared" si="1"/>
        <v>-5842.472138256876</v>
      </c>
    </row>
    <row r="39" spans="3:17" ht="33.75" customHeight="1" thickBot="1" x14ac:dyDescent="0.35">
      <c r="C39" s="12"/>
      <c r="D39" s="13"/>
      <c r="E39" s="61"/>
      <c r="F39" s="62"/>
      <c r="G39" s="61"/>
      <c r="H39" s="61"/>
      <c r="I39" s="63"/>
      <c r="M39" s="15">
        <v>20</v>
      </c>
      <c r="N39" s="5">
        <f t="shared" si="0"/>
        <v>14634.55191429176</v>
      </c>
      <c r="P39" s="4">
        <v>20</v>
      </c>
      <c r="Q39" s="16">
        <f t="shared" si="1"/>
        <v>-5959.3215810220136</v>
      </c>
    </row>
    <row r="40" spans="3:17" ht="57.6" customHeight="1" thickBot="1" x14ac:dyDescent="0.35">
      <c r="C40" s="39" t="s">
        <v>67</v>
      </c>
      <c r="G40" s="61"/>
      <c r="H40" s="61"/>
      <c r="I40" s="63"/>
      <c r="M40" s="15">
        <v>21</v>
      </c>
      <c r="N40" s="5">
        <f t="shared" si="0"/>
        <v>14927.242952577595</v>
      </c>
      <c r="P40" s="4">
        <v>21</v>
      </c>
      <c r="Q40" s="16">
        <f t="shared" si="1"/>
        <v>-6078.5080126424537</v>
      </c>
    </row>
    <row r="41" spans="3:17" ht="57.6" customHeight="1" x14ac:dyDescent="0.3">
      <c r="C41" s="32"/>
      <c r="D41" s="33" t="s">
        <v>24</v>
      </c>
      <c r="E41" s="33" t="s">
        <v>25</v>
      </c>
      <c r="F41" s="34" t="s">
        <v>26</v>
      </c>
      <c r="G41" s="61"/>
      <c r="H41" s="61"/>
      <c r="I41" s="63"/>
      <c r="M41" s="15">
        <v>22</v>
      </c>
      <c r="N41" s="5">
        <f t="shared" si="0"/>
        <v>15225.787811629147</v>
      </c>
      <c r="P41" s="4">
        <v>22</v>
      </c>
      <c r="Q41" s="16">
        <f t="shared" si="1"/>
        <v>-6200.0781728953025</v>
      </c>
    </row>
    <row r="42" spans="3:17" ht="57.6" customHeight="1" x14ac:dyDescent="0.3">
      <c r="C42" s="35" t="s">
        <v>68</v>
      </c>
      <c r="D42" s="8">
        <f>D47</f>
        <v>170.26329600000003</v>
      </c>
      <c r="E42" s="8">
        <f>E47</f>
        <v>110.37600000000003</v>
      </c>
      <c r="F42" s="50">
        <f>E42-D42</f>
        <v>-59.887295999999992</v>
      </c>
      <c r="G42" s="61"/>
      <c r="H42" s="61"/>
      <c r="I42" s="63"/>
      <c r="M42" s="15">
        <v>23</v>
      </c>
      <c r="N42" s="5">
        <f t="shared" si="0"/>
        <v>15530.303567861731</v>
      </c>
      <c r="P42" s="4">
        <v>23</v>
      </c>
      <c r="Q42" s="16">
        <f t="shared" si="1"/>
        <v>-6324.0797363532083</v>
      </c>
    </row>
    <row r="43" spans="3:17" ht="15" thickBot="1" x14ac:dyDescent="0.35">
      <c r="C43" s="36" t="s">
        <v>69</v>
      </c>
      <c r="D43" s="37">
        <f>D48</f>
        <v>13.621063680000002</v>
      </c>
      <c r="E43" s="37">
        <f>E48</f>
        <v>8.8300800000000024</v>
      </c>
      <c r="F43" s="54">
        <f>E43-D43</f>
        <v>-4.7909836800000001</v>
      </c>
      <c r="G43" s="12"/>
      <c r="H43" s="12"/>
      <c r="I43" s="14"/>
      <c r="M43" s="15">
        <v>24</v>
      </c>
      <c r="N43" s="5">
        <f t="shared" si="0"/>
        <v>15840.909639218966</v>
      </c>
      <c r="P43" s="4">
        <v>24</v>
      </c>
      <c r="Q43" s="16">
        <f t="shared" si="1"/>
        <v>-6450.5613310802728</v>
      </c>
    </row>
    <row r="44" spans="3:17" ht="15" thickBot="1" x14ac:dyDescent="0.35">
      <c r="M44" s="15">
        <v>25</v>
      </c>
      <c r="N44" s="5">
        <f t="shared" si="0"/>
        <v>16157.727832003346</v>
      </c>
      <c r="P44" s="4">
        <v>25</v>
      </c>
      <c r="Q44" s="16">
        <f t="shared" si="1"/>
        <v>-6579.5725577018784</v>
      </c>
    </row>
    <row r="45" spans="3:17" ht="29.4" thickBot="1" x14ac:dyDescent="0.35">
      <c r="C45" s="39" t="s">
        <v>73</v>
      </c>
      <c r="M45" s="15">
        <v>26</v>
      </c>
      <c r="N45" s="5">
        <f t="shared" si="0"/>
        <v>16480.882388643411</v>
      </c>
      <c r="P45" s="4">
        <v>26</v>
      </c>
      <c r="Q45" s="16">
        <f t="shared" si="1"/>
        <v>-6711.1640088559161</v>
      </c>
    </row>
    <row r="46" spans="3:17" x14ac:dyDescent="0.3">
      <c r="C46" s="32"/>
      <c r="D46" s="33" t="s">
        <v>24</v>
      </c>
      <c r="E46" s="33" t="s">
        <v>25</v>
      </c>
      <c r="F46" s="33" t="s">
        <v>26</v>
      </c>
      <c r="G46" s="33" t="s">
        <v>22</v>
      </c>
      <c r="H46" s="33" t="s">
        <v>23</v>
      </c>
      <c r="I46" s="33" t="s">
        <v>28</v>
      </c>
      <c r="J46" s="34" t="s">
        <v>29</v>
      </c>
      <c r="M46" s="15">
        <v>27</v>
      </c>
      <c r="N46" s="5">
        <f t="shared" si="0"/>
        <v>16810.500036416281</v>
      </c>
      <c r="P46" s="4">
        <v>27</v>
      </c>
      <c r="Q46" s="16">
        <f t="shared" si="1"/>
        <v>-6845.3872890330349</v>
      </c>
    </row>
    <row r="47" spans="3:17" x14ac:dyDescent="0.3">
      <c r="C47" s="35" t="s">
        <v>68</v>
      </c>
      <c r="D47" s="8">
        <f>D31</f>
        <v>170.26329600000003</v>
      </c>
      <c r="E47" s="8">
        <f>E31-G38</f>
        <v>110.37600000000003</v>
      </c>
      <c r="F47" s="8">
        <f>E47-D47</f>
        <v>-59.887295999999992</v>
      </c>
      <c r="G47" s="9">
        <v>40048</v>
      </c>
      <c r="H47" s="9">
        <f>G47*(F47/1000)</f>
        <v>-2398.3664302079997</v>
      </c>
      <c r="I47" s="68">
        <f>H48+H47</f>
        <v>-4090.6616405759996</v>
      </c>
      <c r="J47" s="70">
        <f>Q51</f>
        <v>-165950.28543642844</v>
      </c>
      <c r="M47" s="15">
        <v>28</v>
      </c>
      <c r="N47" s="5">
        <f t="shared" si="0"/>
        <v>17146.710037144607</v>
      </c>
      <c r="P47" s="4">
        <v>28</v>
      </c>
      <c r="Q47" s="16">
        <f t="shared" si="1"/>
        <v>-6982.2950348136956</v>
      </c>
    </row>
    <row r="48" spans="3:17" ht="15" thickBot="1" x14ac:dyDescent="0.35">
      <c r="C48" s="36" t="s">
        <v>69</v>
      </c>
      <c r="D48" s="37">
        <f>D32</f>
        <v>13.621063680000002</v>
      </c>
      <c r="E48" s="37">
        <f>E32-H38</f>
        <v>8.8300800000000024</v>
      </c>
      <c r="F48" s="37">
        <f>E48-D48</f>
        <v>-4.7909836800000001</v>
      </c>
      <c r="G48" s="38">
        <v>353225</v>
      </c>
      <c r="H48" s="38">
        <f>G48*(F48/1000)</f>
        <v>-1692.2952103680002</v>
      </c>
      <c r="I48" s="69"/>
      <c r="J48" s="71"/>
      <c r="M48" s="15">
        <v>29</v>
      </c>
      <c r="N48" s="5">
        <f t="shared" si="0"/>
        <v>17489.6442378875</v>
      </c>
      <c r="P48" s="4">
        <v>29</v>
      </c>
      <c r="Q48" s="16">
        <f t="shared" si="1"/>
        <v>-7121.9409355099697</v>
      </c>
    </row>
    <row r="49" spans="3:17" x14ac:dyDescent="0.3">
      <c r="M49" s="15">
        <v>30</v>
      </c>
      <c r="N49" s="5">
        <f t="shared" si="0"/>
        <v>17839.437122645249</v>
      </c>
      <c r="P49" s="4">
        <v>30</v>
      </c>
      <c r="Q49" s="16">
        <f t="shared" si="1"/>
        <v>-7264.3797542201692</v>
      </c>
    </row>
    <row r="50" spans="3:17" x14ac:dyDescent="0.3">
      <c r="M50" s="15"/>
      <c r="N50" s="5"/>
      <c r="P50" s="4"/>
      <c r="Q50" s="16"/>
    </row>
    <row r="51" spans="3:17" ht="15" thickBot="1" x14ac:dyDescent="0.35">
      <c r="L51" s="6"/>
      <c r="M51" s="27" t="s">
        <v>4</v>
      </c>
      <c r="N51" s="28">
        <f>SUM(N20:N49)</f>
        <v>407530.9637837073</v>
      </c>
      <c r="O51" s="29"/>
      <c r="P51" s="30" t="s">
        <v>0</v>
      </c>
      <c r="Q51" s="31">
        <f>SUM(Q20:Q49)</f>
        <v>-165950.28543642844</v>
      </c>
    </row>
    <row r="61" spans="3:17" ht="15" thickBot="1" x14ac:dyDescent="0.35"/>
    <row r="62" spans="3:17" ht="29.4" thickBot="1" x14ac:dyDescent="0.35">
      <c r="C62" s="39" t="s">
        <v>60</v>
      </c>
      <c r="D62" s="3"/>
      <c r="E62" s="3"/>
    </row>
    <row r="63" spans="3:17" ht="26.4" customHeight="1" x14ac:dyDescent="0.3">
      <c r="C63" s="49" t="s">
        <v>49</v>
      </c>
      <c r="D63" s="33" t="s">
        <v>50</v>
      </c>
      <c r="E63" s="34" t="s">
        <v>48</v>
      </c>
    </row>
    <row r="64" spans="3:17" ht="28.8" x14ac:dyDescent="0.3">
      <c r="C64" s="43" t="s">
        <v>51</v>
      </c>
      <c r="D64" s="10" t="s">
        <v>55</v>
      </c>
      <c r="E64" s="65">
        <v>47</v>
      </c>
    </row>
    <row r="65" spans="3:5" x14ac:dyDescent="0.3">
      <c r="C65" s="43" t="s">
        <v>52</v>
      </c>
      <c r="D65" s="10" t="s">
        <v>56</v>
      </c>
      <c r="E65" s="65">
        <v>124</v>
      </c>
    </row>
    <row r="66" spans="3:5" x14ac:dyDescent="0.3">
      <c r="C66" s="43" t="s">
        <v>53</v>
      </c>
      <c r="D66" s="10" t="s">
        <v>57</v>
      </c>
      <c r="E66" s="65">
        <v>37</v>
      </c>
    </row>
    <row r="67" spans="3:5" ht="28.8" x14ac:dyDescent="0.3">
      <c r="C67" s="43" t="s">
        <v>54</v>
      </c>
      <c r="D67" s="10" t="s">
        <v>57</v>
      </c>
      <c r="E67" s="65">
        <v>3</v>
      </c>
    </row>
    <row r="68" spans="3:5" ht="72" x14ac:dyDescent="0.3">
      <c r="C68" s="43" t="s">
        <v>47</v>
      </c>
      <c r="D68" s="10" t="s">
        <v>58</v>
      </c>
      <c r="E68" s="65">
        <v>70</v>
      </c>
    </row>
    <row r="69" spans="3:5" ht="29.4" thickBot="1" x14ac:dyDescent="0.35">
      <c r="C69" s="51"/>
      <c r="D69" s="66" t="s">
        <v>59</v>
      </c>
      <c r="E69" s="67">
        <f>SUM(E64:E68)</f>
        <v>281</v>
      </c>
    </row>
    <row r="71" spans="3:5" ht="15" thickBot="1" x14ac:dyDescent="0.35"/>
    <row r="72" spans="3:5" ht="29.4" thickBot="1" x14ac:dyDescent="0.35">
      <c r="C72" s="39" t="s">
        <v>61</v>
      </c>
      <c r="D72" s="3"/>
      <c r="E72" s="3"/>
    </row>
    <row r="73" spans="3:5" x14ac:dyDescent="0.3">
      <c r="C73" s="49" t="s">
        <v>49</v>
      </c>
      <c r="D73" s="33" t="s">
        <v>50</v>
      </c>
      <c r="E73" s="34" t="s">
        <v>48</v>
      </c>
    </row>
    <row r="74" spans="3:5" x14ac:dyDescent="0.3">
      <c r="C74" s="43" t="s">
        <v>42</v>
      </c>
      <c r="D74" s="10" t="s">
        <v>43</v>
      </c>
      <c r="E74" s="65">
        <v>74</v>
      </c>
    </row>
    <row r="75" spans="3:5" x14ac:dyDescent="0.3">
      <c r="C75" s="43" t="s">
        <v>44</v>
      </c>
      <c r="D75" s="10" t="s">
        <v>43</v>
      </c>
      <c r="E75" s="65">
        <v>74</v>
      </c>
    </row>
    <row r="76" spans="3:5" ht="29.4" thickBot="1" x14ac:dyDescent="0.35">
      <c r="C76" s="51"/>
      <c r="D76" s="66" t="s">
        <v>59</v>
      </c>
      <c r="E76" s="67">
        <f>SUM(E74:E75)</f>
        <v>148</v>
      </c>
    </row>
  </sheetData>
  <mergeCells count="6">
    <mergeCell ref="I47:I48"/>
    <mergeCell ref="J47:J48"/>
    <mergeCell ref="P18:Q18"/>
    <mergeCell ref="M18:N18"/>
    <mergeCell ref="I31:I32"/>
    <mergeCell ref="J31:J32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471F425249F0458211CD355CA60B83" ma:contentTypeVersion="19" ma:contentTypeDescription="Create a new document." ma:contentTypeScope="" ma:versionID="c56317a91b865fd7d71e5667b8b22387">
  <xsd:schema xmlns:xsd="http://www.w3.org/2001/XMLSchema" xmlns:xs="http://www.w3.org/2001/XMLSchema" xmlns:p="http://schemas.microsoft.com/office/2006/metadata/properties" xmlns:ns2="416f4eca-ef65-47c0-bfb8-42a7bfab8e2b" xmlns:ns3="07d52922-9b65-4aa1-bf6e-9cecd433946a" targetNamespace="http://schemas.microsoft.com/office/2006/metadata/properties" ma:root="true" ma:fieldsID="868d0390cd01647c47ccee99df47b0b3" ns2:_="" ns3:_="">
    <xsd:import namespace="416f4eca-ef65-47c0-bfb8-42a7bfab8e2b"/>
    <xsd:import namespace="07d52922-9b65-4aa1-bf6e-9cecd4339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f4eca-ef65-47c0-bfb8-42a7bfab8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e6e4c12-83eb-40a6-9eff-0e91710930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52922-9b65-4aa1-bf6e-9cecd4339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ebe9c2a-221a-4461-95a4-b0b97d318166}" ma:internalName="TaxCatchAll" ma:showField="CatchAllData" ma:web="07d52922-9b65-4aa1-bf6e-9cecd4339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d52922-9b65-4aa1-bf6e-9cecd433946a" xsi:nil="true"/>
    <lcf76f155ced4ddcb4097134ff3c332f xmlns="416f4eca-ef65-47c0-bfb8-42a7bfab8e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3E80CD-03D8-46F4-8417-86999C9BDDC2}"/>
</file>

<file path=customXml/itemProps2.xml><?xml version="1.0" encoding="utf-8"?>
<ds:datastoreItem xmlns:ds="http://schemas.openxmlformats.org/officeDocument/2006/customXml" ds:itemID="{7A4EB266-0A5F-48FF-80E4-373CC1E8DB22}"/>
</file>

<file path=customXml/itemProps3.xml><?xml version="1.0" encoding="utf-8"?>
<ds:datastoreItem xmlns:ds="http://schemas.openxmlformats.org/officeDocument/2006/customXml" ds:itemID="{A3C22B85-51A2-4C08-9429-DF5F700623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Walker</dc:creator>
  <cp:lastModifiedBy>Lawrence Fox</cp:lastModifiedBy>
  <dcterms:created xsi:type="dcterms:W3CDTF">2026-07-30T23:52:15Z</dcterms:created>
  <dcterms:modified xsi:type="dcterms:W3CDTF">2026-10-13T09:42:48Z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0x010100F9471F425249F0458211CD355CA60B83</vt:lpwstr>
  </property>
</Properties>
</file>