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3.xml"/>
  <Override ContentType="application/vnd.openxmlformats-officedocument.spreadsheetml.table+xml" PartName="/xl/tables/table4.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15.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11.xml"/>
  <Override ContentType="application/vnd.openxmlformats-officedocument.spreadsheetml.table+xml" PartName="/xl/tables/table5.xml"/>
  <Override ContentType="application/vnd.openxmlformats-officedocument.spreadsheetml.table+xml" PartName="/xl/tables/table3.xml"/>
  <Override ContentType="application/vnd.openxmlformats-officedocument.spreadsheetml.table+xml" PartName="/xl/tables/table10.xml"/>
  <Override ContentType="application/vnd.openxmlformats-officedocument.spreadsheetml.table+xml" PartName="/xl/tables/table7.xml"/>
  <Override ContentType="application/vnd.openxmlformats-officedocument.spreadsheetml.table+xml" PartName="/xl/tables/table14.xml"/>
  <Override ContentType="application/vnd.openxmlformats-officedocument.spreadsheetml.table+xml" PartName="/xl/tables/table12.xml"/>
  <Override ContentType="application/vnd.openxmlformats-officedocument.spreadsheetml.table+xml" PartName="/xl/tables/table9.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Introduction" sheetId="1" r:id="rId5"/>
    <sheet state="visible" name="2. Site Details" sheetId="2" r:id="rId6"/>
    <sheet state="visible" name="3. Desktop Assessment" sheetId="3" r:id="rId7"/>
    <sheet state="visible" name="4. Supporting Information" sheetId="4" r:id="rId8"/>
    <sheet state="visible" name="5. Area Habitats" sheetId="5" r:id="rId9"/>
    <sheet state="visible" name="6. Hedges &amp; Lines of Trees" sheetId="6" r:id="rId10"/>
    <sheet state="visible" name="7. Watercourses" sheetId="7" r:id="rId11"/>
    <sheet state="visible" name="8. Headline Results" sheetId="8" r:id="rId12"/>
    <sheet state="visible" name="9. All Habitats + Multipliers" sheetId="9" r:id="rId13"/>
    <sheet state="visible" name="10. Condition and Temporal" sheetId="10" r:id="rId14"/>
    <sheet state="visible" name="11. Lists" sheetId="11" r:id="rId15"/>
    <sheet state="visible" name="12. Version history" sheetId="12" r:id="rId16"/>
    <sheet state="hidden" name="13. Habitats Translation" sheetId="13" r:id="rId17"/>
  </sheets>
  <definedNames>
    <definedName name="Watercourses">'11. Lists'!$Y$2:$Y$4</definedName>
    <definedName hidden="1" localSheetId="9" name="_xlnm._FilterDatabase">'10. Condition and Temporal'!$C$4:$M$85</definedName>
    <definedName hidden="1" localSheetId="12" name="_xlnm._FilterDatabase">'13. Habitats Translation'!$B$2:$F$83</definedName>
  </definedNames>
  <calcPr/>
</workbook>
</file>

<file path=xl/sharedStrings.xml><?xml version="1.0" encoding="utf-8"?>
<sst xmlns="http://schemas.openxmlformats.org/spreadsheetml/2006/main" count="3269" uniqueCount="1063">
  <si>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</si>
  <si>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</si>
  <si>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</si>
  <si>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</si>
  <si>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</si>
  <si>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</si>
  <si>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</si>
  <si>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</si>
  <si>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</si>
  <si>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</si>
  <si>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</si>
  <si>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</si>
  <si>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</si>
  <si>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</si>
  <si>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rFont val="Calibri"/>
        <b/>
        <color theme="1"/>
        <sz val="11.0"/>
      </rPr>
      <t xml:space="preserve">Technical Requirements - Excel Versions: </t>
    </r>
    <r>
      <rPr>
        <rFont val="Calibri"/>
        <color theme="1"/>
        <sz val="11.0"/>
      </rPr>
      <t>2010, 2013, 2016, 2019, Office 365, Excel for Android</t>
    </r>
  </si>
  <si>
    <t xml:space="preserve">Use of this cell is not required </t>
  </si>
  <si>
    <t>Sheet Name</t>
  </si>
  <si>
    <t>Site Details</t>
  </si>
  <si>
    <t>1. Planning authority:</t>
  </si>
  <si>
    <t>2. Site name:</t>
  </si>
  <si>
    <t>279 Long Lane, Uxbridge</t>
  </si>
  <si>
    <t>3. Applicant:</t>
  </si>
  <si>
    <t>Mr. Nadarajalingam</t>
  </si>
  <si>
    <t>4. Planning application type:</t>
  </si>
  <si>
    <t>5. Planning application reference:</t>
  </si>
  <si>
    <t>6. Metric completed by (name &amp; job title):</t>
  </si>
  <si>
    <t>Mr. Ben Whyman, BSc (Hons): Consultant Ecologist</t>
  </si>
  <si>
    <t>7. Date of metric completion:</t>
  </si>
  <si>
    <t>8. Revision number:</t>
  </si>
  <si>
    <t>9. Masterplan document title / drawing number:</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</si>
  <si>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</si>
  <si>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</si>
  <si>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</si>
  <si>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</si>
  <si>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</si>
  <si>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</si>
  <si>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</si>
  <si>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</si>
  <si>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</si>
  <si>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</si>
  <si>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</si>
  <si>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</si>
  <si>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</si>
  <si>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</si>
  <si>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</si>
  <si>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</si>
  <si>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t>Residential</t>
  </si>
  <si>
    <r>
      <rPr>
        <rFont val="Calibri"/>
        <b/>
        <color theme="0"/>
        <sz val="14.0"/>
      </rPr>
      <t>15. Site area (m</t>
    </r>
    <r>
      <rPr>
        <rFont val="Calibri"/>
        <b/>
        <color theme="0"/>
        <sz val="14.0"/>
        <vertAlign val="superscript"/>
      </rPr>
      <t>2</t>
    </r>
    <r>
      <rPr>
        <rFont val="Calibri"/>
        <b/>
        <color theme="0"/>
        <sz val="14.0"/>
      </rPr>
      <t>)</t>
    </r>
  </si>
  <si>
    <t>Between 1 - 9 dwellings</t>
  </si>
  <si>
    <t xml:space="preserve">Designated sites and priority habitats </t>
  </si>
  <si>
    <t>18. Any designated sites on or within 500m of the site?</t>
  </si>
  <si>
    <t>No</t>
  </si>
  <si>
    <t>19. Any priority habitats on or within 500m of the site?</t>
  </si>
  <si>
    <t>Within 500m of site boundary</t>
  </si>
  <si>
    <t>20. List the designated sites and/or priority habitats</t>
  </si>
  <si>
    <t>Deciduous woodland</t>
  </si>
  <si>
    <t>21. Information sources used for assessment of designated sites and priority habitats
(See guidance)</t>
  </si>
  <si>
    <t xml:space="preserve">M.A.G.I.C Maps application </t>
  </si>
  <si>
    <t>European protected species</t>
  </si>
  <si>
    <t>22. Any european protected species present on site</t>
  </si>
  <si>
    <t>Site walkover</t>
  </si>
  <si>
    <t>23. Site walkover completed?</t>
  </si>
  <si>
    <t>Walkover completed by qualified ecologist</t>
  </si>
  <si>
    <t>24. Date of site walkover - DD/MM/YY</t>
  </si>
  <si>
    <t>25. Who completed the walkover? 
(Name and job title)</t>
  </si>
  <si>
    <t>Miss Bryony Haines, MSc: Consultant Ecologist</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</si>
  <si>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</si>
  <si>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</si>
  <si>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</si>
  <si>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</si>
  <si>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</si>
  <si>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</si>
  <si>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</si>
  <si>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</si>
  <si>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</si>
  <si>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</si>
  <si>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</si>
  <si>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</si>
  <si>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</si>
  <si>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rFont val="Calibri"/>
        <b/>
        <color theme="1"/>
        <sz val="14.0"/>
        <u/>
      </rPr>
      <t>Instructions:</t>
    </r>
    <r>
      <rPr>
        <rFont val="Calibri"/>
        <color theme="1"/>
        <sz val="11.0"/>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</si>
  <si>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</si>
  <si>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</si>
  <si>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</si>
  <si>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</si>
  <si>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</si>
  <si>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</si>
  <si>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</si>
  <si>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</si>
  <si>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rFont val="Calibri"/>
        <b/>
        <color theme="0"/>
        <sz val="12.0"/>
      </rPr>
      <t>Areas (m</t>
    </r>
    <r>
      <rPr>
        <rFont val="Calibri"/>
        <b/>
        <color theme="0"/>
        <sz val="12.0"/>
        <vertAlign val="superscript"/>
      </rPr>
      <t>2</t>
    </r>
    <r>
      <rPr>
        <rFont val="Calibri"/>
        <b/>
        <color theme="0"/>
        <sz val="12.0"/>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</si>
  <si>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</si>
  <si>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</si>
  <si>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</si>
  <si>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</si>
  <si>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</si>
  <si>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</si>
  <si>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</si>
  <si>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</si>
  <si>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</si>
  <si>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</si>
  <si>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</si>
  <si>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</si>
  <si>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</si>
  <si>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</si>
  <si>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</si>
  <si>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</si>
  <si>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</si>
  <si>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</si>
  <si>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</si>
  <si>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</si>
  <si>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</si>
  <si>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</si>
  <si>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</si>
  <si>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</si>
  <si>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</si>
  <si>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Urban</t>
  </si>
  <si>
    <t>Developed land; sealed surface</t>
  </si>
  <si>
    <t>Area/compensation not in local strategy/ no local strategy</t>
  </si>
  <si>
    <t>Vegetated garden</t>
  </si>
  <si>
    <t>Heathland and shrub</t>
  </si>
  <si>
    <t>Bramble scrub</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</si>
  <si>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</si>
  <si>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</si>
  <si>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</si>
  <si>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</si>
  <si>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</si>
  <si>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</si>
  <si>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</si>
  <si>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</si>
  <si>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</si>
  <si>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</si>
  <si>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</si>
  <si>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rPr>
        <rFont val="Calibri"/>
        <b/>
        <color theme="0"/>
        <sz val="12.0"/>
      </rPr>
      <t>E. Total Area  (m</t>
    </r>
    <r>
      <rPr>
        <rFont val="Calibri"/>
        <b/>
        <color theme="0"/>
        <sz val="12.0"/>
        <vertAlign val="superscript"/>
      </rPr>
      <t>2</t>
    </r>
    <r>
      <rPr>
        <rFont val="Calibri"/>
        <b/>
        <color theme="0"/>
        <sz val="12.0"/>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</si>
  <si>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</si>
  <si>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</si>
  <si>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</si>
  <si>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</si>
  <si>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</si>
  <si>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</si>
  <si>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</si>
  <si>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</si>
  <si>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</si>
  <si>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</si>
  <si>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N/A - Other</t>
  </si>
  <si>
    <t>Condition Assessment N/A</t>
  </si>
  <si>
    <t>Moderate</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</si>
  <si>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</si>
  <si>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</si>
  <si>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</si>
  <si>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</si>
  <si>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</si>
  <si>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</si>
  <si>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</si>
  <si>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</si>
  <si>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</si>
  <si>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</si>
  <si>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</si>
  <si>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</si>
  <si>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</si>
  <si>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</si>
  <si>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</si>
  <si>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</si>
  <si>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</si>
  <si>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</si>
  <si>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</si>
  <si>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</si>
  <si>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</si>
  <si>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</si>
  <si>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</si>
  <si>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</si>
  <si>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</si>
  <si>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</si>
  <si>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</si>
  <si>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</si>
  <si>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</si>
  <si>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</si>
  <si>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</si>
  <si>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</si>
  <si>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</si>
  <si>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</si>
  <si>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</si>
  <si>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</si>
  <si>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</si>
  <si>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</si>
  <si>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</si>
  <si>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</si>
  <si>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</si>
  <si>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</si>
  <si>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</si>
  <si>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</si>
  <si>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</si>
  <si>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</si>
  <si>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</si>
  <si>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</si>
  <si>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</si>
  <si>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</si>
  <si>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</si>
  <si>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</si>
  <si>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</si>
  <si>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</si>
  <si>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</si>
  <si>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</si>
  <si>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</si>
  <si>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</si>
  <si>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</si>
  <si>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</si>
  <si>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</si>
  <si>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</si>
  <si>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</si>
  <si>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</si>
  <si>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</si>
  <si>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</si>
  <si>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</si>
  <si>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</si>
  <si>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</si>
  <si>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</si>
  <si>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</si>
  <si>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</si>
  <si>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</si>
  <si>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</si>
  <si>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</si>
  <si>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</si>
  <si>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</si>
  <si>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</si>
  <si>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</si>
  <si>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</si>
  <si>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</si>
  <si>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</si>
  <si>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</si>
  <si>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</si>
  <si>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</si>
  <si>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</si>
  <si>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</si>
  <si>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</si>
  <si>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</si>
  <si>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</si>
  <si>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</si>
  <si>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Intertidal hard structures</t>
  </si>
  <si>
    <t>Intertidal sediment</t>
  </si>
  <si>
    <t>Lakes</t>
  </si>
  <si>
    <t>Sparsely vegetated land</t>
  </si>
  <si>
    <t>Woodland and forest</t>
  </si>
  <si>
    <t>Coastal saltmarsh</t>
  </si>
  <si>
    <t>Medium distinctiveness</t>
  </si>
  <si>
    <t>Low distinctiveness</t>
  </si>
  <si>
    <t>Surplus area habitat biodiversity units after offsetting low distinctiveness units</t>
  </si>
  <si>
    <r>
      <rPr>
        <rFont val="Calibri"/>
        <b/>
        <color theme="1"/>
        <sz val="14.0"/>
        <u/>
      </rPr>
      <t xml:space="preserve">Instructions:
</t>
    </r>
    <r>
      <rPr>
        <rFont val="Calibri"/>
        <color theme="1"/>
        <sz val="11.0"/>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</si>
  <si>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</si>
  <si>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</si>
  <si>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</si>
  <si>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</si>
  <si>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</si>
  <si>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</si>
  <si>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</si>
  <si>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</si>
  <si>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Non-native and ornamental hedgerow</t>
  </si>
  <si>
    <t>Native hedgerow</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</si>
  <si>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</si>
  <si>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</si>
  <si>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</si>
  <si>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</si>
  <si>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</si>
  <si>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</si>
  <si>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</si>
  <si>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</si>
  <si>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</si>
  <si>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</si>
  <si>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</si>
  <si>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</si>
  <si>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Line of trees</t>
  </si>
  <si>
    <t>Line of trees - associated with bank or ditch</t>
  </si>
  <si>
    <t>Very low</t>
  </si>
  <si>
    <t>Surplus medium distinctiveness units to offset low and very low distinctiveness units</t>
  </si>
  <si>
    <t>Cumulative surplus of units after offsetting low distinctiveness units</t>
  </si>
  <si>
    <t>Cumulative surplus of units after offsetting very low distinctiveness units</t>
  </si>
  <si>
    <r>
      <rPr>
        <rFont val="Calibri"/>
        <b/>
        <color theme="1"/>
        <sz val="14.0"/>
        <u/>
      </rPr>
      <t xml:space="preserve">Instructions:
</t>
    </r>
    <r>
      <rPr>
        <rFont val="Calibri"/>
        <color theme="1"/>
        <sz val="11.0"/>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</si>
  <si>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</si>
  <si>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</si>
  <si>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</si>
  <si>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</si>
  <si>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</si>
  <si>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1</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</si>
  <si>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</si>
  <si>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</si>
  <si>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</si>
  <si>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</si>
  <si>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</si>
  <si>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</si>
  <si>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</si>
  <si>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</si>
  <si>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</si>
  <si>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</si>
  <si>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</si>
  <si>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</si>
  <si>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</si>
  <si>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</si>
  <si>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</si>
  <si>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</si>
  <si>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</si>
  <si>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</si>
  <si>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</si>
  <si>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</si>
  <si>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</si>
  <si>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</si>
  <si>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</si>
  <si>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</si>
  <si>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</si>
  <si>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</si>
  <si>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</si>
  <si>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</si>
  <si>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</si>
  <si>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</si>
  <si>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</si>
  <si>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</si>
  <si>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</si>
  <si>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</si>
  <si>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</si>
  <si>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</si>
  <si>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</si>
  <si>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</si>
  <si>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</si>
  <si>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</si>
  <si>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</si>
  <si>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</si>
  <si>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</si>
  <si>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</si>
  <si>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</si>
  <si>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</si>
  <si>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</si>
  <si>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</si>
  <si>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</si>
  <si>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</si>
  <si>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</si>
  <si>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</si>
  <si>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</si>
  <si>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</si>
  <si>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</si>
  <si>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</si>
  <si>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</si>
  <si>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</si>
  <si>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</si>
  <si>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</si>
  <si>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</si>
  <si>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</si>
  <si>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</si>
  <si>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</si>
  <si>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</si>
  <si>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</si>
  <si>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</si>
  <si>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</si>
  <si>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</si>
  <si>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</si>
  <si>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</si>
  <si>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</si>
  <si>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</si>
  <si>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</si>
  <si>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</si>
  <si>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</si>
  <si>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</si>
  <si>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</si>
  <si>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</si>
  <si>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</si>
  <si>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</si>
  <si>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</si>
  <si>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</si>
  <si>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</si>
  <si>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</si>
  <si>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</si>
  <si>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</si>
  <si>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</si>
  <si>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</si>
  <si>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</si>
  <si>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</si>
  <si>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</si>
  <si>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</si>
  <si>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</si>
  <si>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</si>
  <si>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</si>
  <si>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</si>
  <si>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</si>
  <si>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</si>
  <si>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</si>
  <si>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</si>
  <si>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</si>
  <si>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</si>
  <si>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</si>
  <si>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</si>
  <si>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</si>
  <si>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</si>
  <si>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</si>
  <si>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</si>
  <si>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</si>
  <si>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</si>
  <si>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</si>
  <si>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</si>
  <si>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</si>
  <si>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</si>
  <si>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</si>
  <si>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</si>
  <si>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</si>
  <si>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</si>
  <si>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</si>
  <si>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</si>
  <si>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</si>
  <si>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</si>
  <si>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</si>
  <si>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</si>
  <si>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</si>
  <si>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</si>
  <si>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</si>
  <si>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</si>
  <si>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</si>
  <si>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</si>
  <si>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</si>
  <si>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</si>
  <si>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</si>
  <si>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</si>
  <si>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</si>
  <si>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</si>
  <si>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</si>
  <si>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</si>
  <si>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</si>
  <si>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</si>
  <si>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</si>
  <si>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</si>
  <si>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</si>
  <si>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</si>
  <si>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</si>
  <si>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</si>
  <si>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</si>
  <si>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</si>
  <si>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</si>
  <si>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</si>
  <si>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</si>
  <si>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</si>
  <si>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</si>
  <si>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</si>
  <si>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</si>
  <si>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</si>
  <si>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</si>
  <si>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</si>
  <si>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</si>
  <si>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</si>
  <si>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</si>
  <si>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</si>
  <si>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</si>
  <si>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</si>
  <si>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</si>
  <si>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</si>
  <si>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</si>
  <si>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</si>
  <si>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</si>
  <si>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</si>
  <si>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</si>
  <si>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</si>
  <si>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</si>
  <si>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</si>
  <si>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</si>
  <si>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</si>
  <si>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</si>
  <si>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</si>
  <si>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</si>
  <si>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</si>
  <si>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</si>
  <si>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</si>
  <si>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</si>
  <si>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</si>
  <si>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</si>
  <si>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</si>
  <si>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</si>
  <si>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</si>
  <si>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</si>
  <si>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</si>
  <si>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</si>
  <si>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</si>
  <si>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</si>
  <si>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</si>
  <si>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</si>
  <si>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</si>
  <si>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</si>
  <si>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</si>
  <si>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</si>
  <si>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</si>
  <si>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</si>
  <si>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</si>
  <si>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</si>
  <si>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</si>
  <si>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rFont val="Calibri"/>
        <color theme="1"/>
        <sz val="11.0"/>
      </rPr>
      <t xml:space="preserve">Compensation </t>
    </r>
    <r>
      <rPr>
        <rFont val="Calibri"/>
        <color theme="1"/>
        <sz val="11.0"/>
        <u/>
      </rPr>
      <t>outside</t>
    </r>
    <r>
      <rPr>
        <rFont val="Calibri"/>
        <color theme="1"/>
        <sz val="11.0"/>
      </rPr>
      <t xml:space="preserve"> LPA or NCA of impact site but in neighbouring LPA or NCA</t>
    </r>
  </si>
  <si>
    <t>Adur District Council</t>
  </si>
  <si>
    <t>Full planning consent</t>
  </si>
  <si>
    <t>Unconnected habitat</t>
  </si>
  <si>
    <t>Very High</t>
  </si>
  <si>
    <r>
      <rPr>
        <rFont val="Calibri"/>
        <color theme="1"/>
        <sz val="11.0"/>
      </rPr>
      <t xml:space="preserve">Compensation </t>
    </r>
    <r>
      <rPr>
        <rFont val="Calibri"/>
        <color theme="1"/>
        <sz val="11.0"/>
        <u/>
      </rPr>
      <t>outside</t>
    </r>
    <r>
      <rPr>
        <rFont val="Calibri"/>
        <color theme="1"/>
        <sz val="11.0"/>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</si>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</sst>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F800]dddd\,\ mmmm\ dd\,\ yyyy"/>
    <numFmt numFmtId="165" formatCode="0.0000"/>
    <numFmt numFmtId="166" formatCode="0.000"/>
    <numFmt numFmtId="167" formatCode="_-&quot;£&quot;* #,##0_-;\-&quot;£&quot;* #,##0_-;_-&quot;£&quot;* &quot;-&quot;??_-;_-@"/>
  </numFmts>
  <fonts count="45">
    <font>
      <sz val="11.0"/>
      <color theme="1"/>
      <name val="Calibri"/>
      <scheme val="minor"/>
    </font>
    <font>
      <sz val="11.0"/>
      <color theme="1"/>
      <name val="Calibri"/>
    </font>
    <font>
      <b/>
      <sz val="11.0"/>
      <color rgb="FFFF0000"/>
      <name val="Calibri"/>
    </font>
    <font/>
    <font>
      <sz val="11.0"/>
      <color rgb="FFF2F0D9"/>
      <name val="Calibri"/>
    </font>
    <font>
      <b/>
      <sz val="24.0"/>
      <color theme="1"/>
      <name val="Calibri"/>
    </font>
    <font>
      <b/>
      <sz val="20.0"/>
      <color theme="1"/>
      <name val="Calibri"/>
    </font>
    <font>
      <b/>
      <sz val="11.0"/>
      <color theme="1"/>
      <name val="Calibri"/>
    </font>
    <font>
      <b/>
      <sz val="14.0"/>
      <color theme="1"/>
      <name val="Calibri"/>
    </font>
    <font>
      <b/>
      <sz val="16.0"/>
      <color theme="1"/>
      <name val="Calibri"/>
    </font>
    <font>
      <sz val="12.0"/>
      <color theme="1"/>
      <name val="Calibri"/>
    </font>
    <font>
      <b/>
      <sz val="12.0"/>
      <color theme="1"/>
      <name val="Calibri"/>
    </font>
    <font>
      <sz val="12.0"/>
      <color theme="0"/>
      <name val="Calibri"/>
    </font>
    <font>
      <b/>
      <sz val="14.0"/>
      <color theme="0"/>
      <name val="Calibri"/>
    </font>
    <font>
      <sz val="10.0"/>
      <color theme="1"/>
      <name val="Arial"/>
    </font>
    <font>
      <b/>
      <u/>
      <sz val="16.0"/>
      <color theme="1"/>
      <name val="Calibri"/>
    </font>
    <font>
      <b/>
      <sz val="14.0"/>
      <color rgb="FFFFFFFF"/>
      <name val="Calibri"/>
    </font>
    <font>
      <b/>
      <i/>
      <sz val="14.0"/>
      <color rgb="FFFFFFFF"/>
      <name val="Calibri"/>
    </font>
    <font>
      <b/>
      <u/>
      <sz val="14.0"/>
      <color theme="1"/>
      <name val="Calibri"/>
    </font>
    <font>
      <b/>
      <sz val="28.0"/>
      <color theme="1"/>
      <name val="Calibri"/>
    </font>
    <font>
      <sz val="11.0"/>
      <color rgb="FF9C5700"/>
      <name val="Calibri"/>
    </font>
    <font>
      <sz val="14.0"/>
      <color theme="1"/>
      <name val="Calibri"/>
    </font>
    <font>
      <sz val="14.0"/>
      <color rgb="FF9C5700"/>
      <name val="Calibri"/>
    </font>
    <font>
      <b/>
      <u/>
      <sz val="16.0"/>
      <color theme="1"/>
      <name val="Calibri"/>
    </font>
    <font>
      <b/>
      <u/>
      <sz val="16.0"/>
      <color theme="1"/>
      <name val="Calibri"/>
    </font>
    <font>
      <u/>
      <sz val="11.0"/>
      <color theme="1"/>
      <name val="Calibri"/>
    </font>
    <font>
      <b/>
      <sz val="12.0"/>
      <color theme="0"/>
      <name val="Calibri"/>
    </font>
    <font>
      <b/>
      <sz val="22.0"/>
      <color theme="1"/>
      <name val="Calibri"/>
    </font>
    <font>
      <sz val="11.0"/>
      <color rgb="FFFF0000"/>
      <name val="Calibri"/>
    </font>
    <font>
      <sz val="12.0"/>
      <color rgb="FFFF0000"/>
      <name val="Calibri"/>
    </font>
    <font>
      <b/>
      <sz val="11.0"/>
      <color theme="0"/>
      <name val="Calibri"/>
    </font>
    <font>
      <sz val="11.0"/>
      <color rgb="FFF2EAD9"/>
      <name val="Calibri"/>
    </font>
    <font>
      <sz val="11.0"/>
      <color rgb="FFFFCCFF"/>
      <name val="Calibri"/>
    </font>
    <font>
      <sz val="11.0"/>
      <color theme="1"/>
      <name val="Abadi Extra Light"/>
    </font>
    <font>
      <sz val="12.0"/>
      <color theme="1"/>
      <name val="Quattrocento Sans"/>
    </font>
    <font>
      <b/>
      <sz val="10.0"/>
      <color theme="0"/>
      <name val="Calibri"/>
    </font>
    <font>
      <b/>
      <sz val="11.0"/>
      <color rgb="FFF2F0D9"/>
      <name val="Calibri"/>
    </font>
    <font>
      <sz val="11.0"/>
      <color theme="0"/>
      <name val="Calibri"/>
    </font>
    <font>
      <sz val="12.0"/>
      <color rgb="FFF2F0D9"/>
      <name val="Calibri"/>
    </font>
    <font>
      <b/>
      <sz val="14.0"/>
      <color rgb="FFA8D08D"/>
      <name val="Calibri"/>
    </font>
    <font>
      <b/>
      <sz val="14.0"/>
      <color rgb="FFBFBFBF"/>
      <name val="Calibri"/>
    </font>
    <font>
      <i/>
      <sz val="14.0"/>
      <color rgb="FFFFFFFF"/>
      <name val="Calibri"/>
    </font>
    <font>
      <b/>
      <sz val="10.0"/>
      <color theme="0"/>
      <name val="Arial"/>
    </font>
    <font>
      <b/>
      <sz val="22.0"/>
      <color theme="0"/>
      <name val="Calibri"/>
    </font>
    <font>
      <sz val="11.0"/>
      <color rgb="FF8EAADB"/>
      <name val="Calibri"/>
    </font>
  </fonts>
  <fills count="34">
    <fill>
      <patternFill patternType="none"/>
    </fill>
    <fill>
      <patternFill patternType="lightGray"/>
    </fill>
    <fill>
      <patternFill patternType="solid">
        <fgColor rgb="FFF2F0D9"/>
        <bgColor rgb="FFF2F0D9"/>
      </patternFill>
    </fill>
    <fill>
      <patternFill patternType="solid">
        <fgColor rgb="FFF2F2F2"/>
        <bgColor rgb="FFF2F2F2"/>
      </patternFill>
    </fill>
    <fill>
      <patternFill patternType="solid">
        <fgColor rgb="FFBDD7EE"/>
        <bgColor rgb="FFBDD7EE"/>
      </patternFill>
    </fill>
    <fill>
      <patternFill patternType="solid">
        <fgColor rgb="FFFFFF99"/>
        <bgColor rgb="FFFFFF99"/>
      </patternFill>
    </fill>
    <fill>
      <patternFill patternType="solid">
        <fgColor rgb="FF305496"/>
        <bgColor rgb="FF305496"/>
      </patternFill>
    </fill>
    <fill>
      <patternFill patternType="solid">
        <fgColor rgb="FF005E5C"/>
        <bgColor rgb="FF005E5C"/>
      </patternFill>
    </fill>
    <fill>
      <patternFill patternType="solid">
        <fgColor rgb="FFC00000"/>
        <bgColor rgb="FFC00000"/>
      </patternFill>
    </fill>
    <fill>
      <patternFill patternType="solid">
        <fgColor rgb="FFFFC000"/>
        <bgColor rgb="FFFFC000"/>
      </patternFill>
    </fill>
    <fill>
      <patternFill patternType="solid">
        <fgColor rgb="FF7B7B7B"/>
        <bgColor rgb="FF7B7B7B"/>
      </patternFill>
    </fill>
    <fill>
      <patternFill patternType="solid">
        <fgColor rgb="FF2F5496"/>
        <bgColor rgb="FF2F5496"/>
      </patternFill>
    </fill>
    <fill>
      <patternFill patternType="solid">
        <fgColor theme="0"/>
        <bgColor theme="0"/>
      </patternFill>
    </fill>
    <fill>
      <patternFill patternType="solid">
        <fgColor rgb="FFD9E2F3"/>
        <bgColor rgb="FFD9E2F3"/>
      </patternFill>
    </fill>
    <fill>
      <patternFill patternType="solid">
        <fgColor rgb="FFFFE598"/>
        <bgColor rgb="FFFFE598"/>
      </patternFill>
    </fill>
    <fill>
      <patternFill patternType="solid">
        <fgColor rgb="FFD8D8D8"/>
        <bgColor rgb="FFD8D8D8"/>
      </patternFill>
    </fill>
    <fill>
      <patternFill patternType="solid">
        <fgColor rgb="FFC5E0B3"/>
        <bgColor rgb="FFC5E0B3"/>
      </patternFill>
    </fill>
    <fill>
      <patternFill patternType="solid">
        <fgColor rgb="FFB4C6E7"/>
        <bgColor rgb="FFB4C6E7"/>
      </patternFill>
    </fill>
    <fill>
      <patternFill patternType="solid">
        <fgColor rgb="FFE2EFD9"/>
        <bgColor rgb="FFE2EFD9"/>
      </patternFill>
    </fill>
    <fill>
      <patternFill patternType="solid">
        <fgColor rgb="FFFF5050"/>
        <bgColor rgb="FFFF5050"/>
      </patternFill>
    </fill>
    <fill>
      <patternFill patternType="solid">
        <fgColor rgb="FFAEABAB"/>
        <bgColor rgb="FFAEABAB"/>
      </patternFill>
    </fill>
    <fill>
      <patternFill patternType="solid">
        <fgColor rgb="FFE2C4A6"/>
        <bgColor rgb="FFE2C4A6"/>
      </patternFill>
    </fill>
    <fill>
      <patternFill patternType="solid">
        <fgColor rgb="FFD6DCE4"/>
        <bgColor rgb="FFD6DCE4"/>
      </patternFill>
    </fill>
    <fill>
      <patternFill patternType="solid">
        <fgColor rgb="FFDEEAF6"/>
        <bgColor rgb="FFDEEAF6"/>
      </patternFill>
    </fill>
    <fill>
      <patternFill patternType="solid">
        <fgColor rgb="FFFFFF00"/>
        <bgColor rgb="FFFFFF00"/>
      </patternFill>
    </fill>
    <fill>
      <patternFill patternType="solid">
        <fgColor rgb="FFA8D08D"/>
        <bgColor rgb="FFA8D08D"/>
      </patternFill>
    </fill>
    <fill>
      <patternFill patternType="solid">
        <fgColor rgb="FFBFBFBF"/>
        <bgColor rgb="FFBFBFBF"/>
      </patternFill>
    </fill>
    <fill>
      <patternFill patternType="solid">
        <fgColor rgb="FF2E75B5"/>
        <bgColor rgb="FF2E75B5"/>
      </patternFill>
    </fill>
    <fill>
      <patternFill patternType="solid">
        <fgColor theme="4"/>
        <bgColor theme="4"/>
      </patternFill>
    </fill>
    <fill>
      <patternFill patternType="solid">
        <fgColor rgb="FFFFDDFF"/>
        <bgColor rgb="FFFFDDFF"/>
      </patternFill>
    </fill>
    <fill>
      <patternFill patternType="solid">
        <fgColor theme="5"/>
        <bgColor theme="5"/>
      </patternFill>
    </fill>
    <fill>
      <patternFill patternType="solid">
        <fgColor rgb="FFF7CAAC"/>
        <bgColor rgb="FFF7CAAC"/>
      </patternFill>
    </fill>
    <fill>
      <patternFill patternType="solid">
        <fgColor rgb="FFF4B083"/>
        <bgColor rgb="FFF4B083"/>
      </patternFill>
    </fill>
    <fill>
      <patternFill patternType="solid">
        <fgColor rgb="FFFFD965"/>
        <bgColor rgb="FFFFD965"/>
      </patternFill>
    </fill>
  </fills>
  <borders count="199">
    <border/>
    <border>
      <left/>
      <right/>
      <top/>
      <bottom/>
    </border>
    <border>
      <left/>
      <top/>
    </border>
    <border>
      <top/>
    </border>
    <border>
      <right/>
      <top/>
    </border>
    <border>
      <left/>
    </border>
    <border>
      <right/>
    </border>
    <border>
      <left/>
      <bottom/>
    </border>
    <border>
      <bottom/>
    </border>
    <border>
      <right/>
      <bottom/>
    </border>
    <border>
      <left/>
      <top/>
      <bottom/>
    </border>
    <border>
      <top/>
      <bottom/>
    </border>
    <border>
      <right/>
      <top/>
      <bottom/>
    </border>
    <border>
      <left/>
      <right/>
      <top/>
    </border>
    <border>
      <left/>
      <right/>
      <bottom/>
    </border>
    <border>
      <left style="medium">
        <color rgb="FF000000"/>
      </left>
      <top style="medium">
        <color rgb="FF000000"/>
      </top>
    </border>
    <border>
      <right style="thin">
        <color rgb="FF000000"/>
      </right>
      <top style="medium">
        <color rgb="FF000000"/>
      </top>
    </border>
    <border>
      <left style="thin">
        <color rgb="FF000000"/>
      </left>
      <top style="medium">
        <color rgb="FF000000"/>
      </top>
    </border>
    <border>
      <top style="medium">
        <color rgb="FF000000"/>
      </top>
    </border>
    <border>
      <right style="medium">
        <color rgb="FF000000"/>
      </right>
      <top style="medium">
        <color rgb="FF000000"/>
      </top>
    </border>
    <border>
      <left style="medium">
        <color rgb="FF000000"/>
      </left>
      <bottom style="thin">
        <color rgb="FF000000"/>
      </bottom>
    </border>
    <border>
      <right style="thin">
        <color rgb="FF000000"/>
      </right>
      <bottom style="thin">
        <color rgb="FF000000"/>
      </bottom>
    </border>
    <border>
      <left style="thin">
        <color rgb="FF000000"/>
      </left>
      <bottom style="thin">
        <color rgb="FF000000"/>
      </bottom>
    </border>
    <border>
      <bottom style="thin">
        <color rgb="FF000000"/>
      </bottom>
    </border>
    <border>
      <right style="medium">
        <color rgb="FF000000"/>
      </right>
      <bottom style="thin">
        <color rgb="FF000000"/>
      </bottom>
    </border>
    <border>
      <left style="medium">
        <color rgb="FF000000"/>
      </left>
      <top style="thin">
        <color rgb="FF000000"/>
      </top>
    </border>
    <border>
      <right style="thin">
        <color rgb="FF000000"/>
      </right>
      <top style="thin">
        <color rgb="FF000000"/>
      </top>
    </border>
    <border>
      <left style="thin">
        <color rgb="FF000000"/>
      </left>
      <top style="thin">
        <color rgb="FF000000"/>
      </top>
    </border>
    <border>
      <top style="thin">
        <color rgb="FF000000"/>
      </top>
    </border>
    <border>
      <right style="medium">
        <color rgb="FF000000"/>
      </right>
      <top style="thin">
        <color rgb="FF000000"/>
      </top>
    </border>
    <border>
      <left style="medium">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right style="medium">
        <color rgb="FF000000"/>
      </right>
    </border>
    <border>
      <left style="medium">
        <color rgb="FF000000"/>
      </left>
      <right style="medium">
        <color rgb="FF000000"/>
      </right>
      <top style="thin">
        <color rgb="FF000000"/>
      </top>
      <bottom style="medium">
        <color rgb="FF000000"/>
      </bottom>
    </border>
    <border>
      <left style="medium">
        <color rgb="FF000000"/>
      </left>
      <right style="medium">
        <color rgb="FF000000"/>
      </right>
      <top style="medium">
        <color rgb="FF000000"/>
      </top>
    </border>
    <border>
      <left style="medium">
        <color rgb="FF000000"/>
      </left>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top/>
      <bottom/>
    </border>
    <border>
      <left style="medium">
        <color rgb="FF000000"/>
      </left>
      <right style="medium">
        <color rgb="FF000000"/>
      </right>
    </border>
    <border>
      <left style="thin">
        <color rgb="FF000000"/>
      </left>
      <right style="medium">
        <color rgb="FF000000"/>
      </right>
      <top style="thin">
        <color rgb="FF000000"/>
      </top>
      <bottom style="thin">
        <color rgb="FF000000"/>
      </bottom>
    </border>
    <border>
      <left style="medium">
        <color rgb="FF000000"/>
      </left>
      <right style="medium">
        <color rgb="FF000000"/>
      </right>
      <bottom style="medium">
        <color rgb="FF000000"/>
      </bottom>
    </border>
    <border>
      <left style="medium">
        <color rgb="FF000000"/>
      </left>
      <right/>
      <top style="thin">
        <color rgb="FF000000"/>
      </top>
      <bottom style="medium">
        <color rgb="FF000000"/>
      </bottom>
    </border>
    <border>
      <left style="thin">
        <color rgb="FF000000"/>
      </left>
      <right style="medium">
        <color rgb="FF000000"/>
      </right>
      <top style="thin">
        <color rgb="FF000000"/>
      </top>
      <bottom style="medium">
        <color rgb="FF000000"/>
      </bottom>
    </border>
    <border>
      <right style="medium">
        <color rgb="FF000000"/>
      </right>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right style="thin">
        <color rgb="FF000000"/>
      </right>
      <top style="medium">
        <color rgb="FF000000"/>
      </top>
      <bottom style="thin">
        <color rgb="FF000000"/>
      </bottom>
    </border>
    <border>
      <left style="medium">
        <color rgb="FF000000"/>
      </left>
      <right/>
      <top/>
    </border>
    <border>
      <left style="medium">
        <color rgb="FF000000"/>
      </left>
      <right/>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style="thin">
        <color rgb="FF000000"/>
      </right>
      <top style="medium">
        <color rgb="FF000000"/>
      </top>
    </border>
    <border>
      <left style="medium">
        <color rgb="FF000000"/>
      </left>
      <right style="thin">
        <color rgb="FF000000"/>
      </right>
      <bottom style="medium">
        <color rgb="FF000000"/>
      </bottom>
    </border>
    <border>
      <left style="medium">
        <color rgb="FF000000"/>
      </left>
      <right style="thin">
        <color rgb="FF000000"/>
      </right>
      <top/>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bottom/>
    </border>
    <border>
      <left style="thin">
        <color rgb="FF000000"/>
      </left>
      <right style="thin">
        <color rgb="FF000000"/>
      </right>
      <top style="thin">
        <color rgb="FF000000"/>
      </top>
      <bottom/>
    </border>
    <border>
      <left style="thin">
        <color rgb="FF000000"/>
      </left>
      <right style="thin">
        <color rgb="FF000000"/>
      </right>
      <top style="thin">
        <color rgb="FF000000"/>
      </top>
    </border>
    <border>
      <left style="thin">
        <color rgb="FF000000"/>
      </left>
      <right style="medium">
        <color rgb="FF000000"/>
      </right>
      <top style="thin">
        <color rgb="FF000000"/>
      </top>
    </border>
    <border>
      <left/>
      <right/>
    </border>
    <border>
      <left style="medium">
        <color rgb="FF000000"/>
      </left>
    </border>
    <border>
      <left style="medium">
        <color rgb="FF000000"/>
      </left>
      <bottom style="medium">
        <color rgb="FF000000"/>
      </bottom>
    </border>
    <border>
      <bottom style="medium">
        <color rgb="FF000000"/>
      </bottom>
    </border>
    <border>
      <left style="medium">
        <color rgb="FF000000"/>
      </left>
      <right/>
      <top style="medium">
        <color rgb="FF000000"/>
      </top>
    </border>
    <border>
      <top style="medium">
        <color rgb="FF000000"/>
      </top>
      <bottom style="thin">
        <color rgb="FF000000"/>
      </bottom>
    </border>
    <border>
      <left/>
      <top style="medium">
        <color rgb="FF000000"/>
      </top>
      <bottom style="thin">
        <color rgb="FF000000"/>
      </bottom>
    </border>
    <border>
      <left/>
      <right style="medium">
        <color rgb="FF000000"/>
      </right>
      <top style="medium">
        <color rgb="FF000000"/>
      </top>
    </border>
    <border>
      <left style="medium">
        <color rgb="FF000000"/>
      </left>
      <right/>
      <bottom style="medium">
        <color rgb="FF000000"/>
      </bottom>
    </border>
    <border>
      <left style="medium">
        <color rgb="FF000000"/>
      </left>
      <right style="medium">
        <color rgb="FF000000"/>
      </right>
      <bottom style="thin">
        <color rgb="FF000000"/>
      </bottom>
    </border>
    <border>
      <left/>
      <right style="medium">
        <color rgb="FF000000"/>
      </right>
      <bottom style="thin">
        <color rgb="FF000000"/>
      </bottom>
    </border>
    <border>
      <left style="medium">
        <color rgb="FF000000"/>
      </left>
      <right/>
      <top/>
      <bottom style="thin">
        <color rgb="FF000000"/>
      </bottom>
    </border>
    <border>
      <left style="medium">
        <color rgb="FF000000"/>
      </left>
      <right style="thin">
        <color rgb="FF000000"/>
      </right>
      <top/>
      <bottom style="thin">
        <color rgb="FF000000"/>
      </bottom>
    </border>
    <border>
      <left style="medium">
        <color rgb="FF000000"/>
      </left>
      <right style="thin">
        <color rgb="FF000000"/>
      </righ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right style="medium">
        <color rgb="FF000000"/>
      </right>
      <top/>
      <bottom style="thin">
        <color rgb="FF000000"/>
      </bottom>
    </border>
    <border>
      <left/>
      <right style="medium">
        <color rgb="FF000000"/>
      </right>
      <top style="thin">
        <color rgb="FF000000"/>
      </top>
      <bottom style="thin">
        <color rgb="FF000000"/>
      </bottom>
    </border>
    <border>
      <left/>
      <right style="thin">
        <color rgb="FF000000"/>
      </right>
      <top style="thin">
        <color rgb="FF000000"/>
      </top>
      <bottom/>
    </border>
    <border>
      <left style="thin">
        <color rgb="FF000000"/>
      </left>
      <right style="medium">
        <color rgb="FF000000"/>
      </right>
      <top style="thin">
        <color rgb="FF000000"/>
      </top>
      <bottom/>
    </border>
    <border>
      <left/>
      <right style="thin">
        <color rgb="FF000000"/>
      </right>
      <top style="thin">
        <color rgb="FF000000"/>
      </top>
      <bottom style="medium">
        <color rgb="FF000000"/>
      </bottom>
    </border>
    <border>
      <left style="thin">
        <color rgb="FF000000"/>
      </left>
      <top style="medium">
        <color rgb="FF000000"/>
      </top>
      <bottom style="medium">
        <color rgb="FF000000"/>
      </bottom>
    </border>
    <border>
      <right style="medium">
        <color rgb="FF000000"/>
      </right>
      <top style="medium">
        <color rgb="FF000000"/>
      </top>
      <bottom style="medium">
        <color rgb="FF000000"/>
      </bottom>
    </border>
    <border>
      <top style="medium">
        <color rgb="FF000000"/>
      </top>
      <bottom style="medium">
        <color rgb="FF000000"/>
      </bottom>
    </border>
    <border>
      <left style="thin">
        <color rgb="FF000000"/>
      </left>
      <right/>
      <top style="medium">
        <color rgb="FF000000"/>
      </top>
      <bottom style="medium">
        <color rgb="FF000000"/>
      </bottom>
    </border>
    <border>
      <left style="medium">
        <color rgb="FF000000"/>
      </left>
      <right style="medium">
        <color rgb="FF000000"/>
      </right>
      <top/>
      <bottom/>
    </border>
    <border>
      <left style="medium">
        <color rgb="FF000000"/>
      </left>
      <right style="thin">
        <color rgb="FF000000"/>
      </right>
      <top/>
      <bottom/>
    </border>
    <border>
      <left style="thin">
        <color rgb="FF000000"/>
      </left>
      <right style="thin">
        <color rgb="FF000000"/>
      </right>
      <top/>
      <bottom/>
    </border>
    <border>
      <left style="thin">
        <color rgb="FF000000"/>
      </left>
      <right style="medium">
        <color rgb="FF000000"/>
      </right>
      <top/>
      <bottom/>
    </border>
    <border>
      <left style="thin">
        <color rgb="FF000000"/>
      </left>
      <right/>
      <top/>
      <bottom/>
    </border>
    <border>
      <right/>
      <top style="medium">
        <color rgb="FF000000"/>
      </top>
      <bottom style="thin">
        <color rgb="FF000000"/>
      </bottom>
    </border>
    <border>
      <left/>
      <right/>
      <top style="medium">
        <color rgb="FF000000"/>
      </top>
    </border>
    <border>
      <left/>
      <top style="medium">
        <color rgb="FF000000"/>
      </top>
    </border>
    <border>
      <right/>
      <top style="medium">
        <color rgb="FF000000"/>
      </top>
    </border>
    <border>
      <left style="thin">
        <color rgb="FF000000"/>
      </left>
      <right/>
      <top style="thin">
        <color rgb="FF000000"/>
      </top>
      <bottom style="medium">
        <color rgb="FF000000"/>
      </bottom>
    </border>
    <border>
      <left/>
      <right/>
      <bottom style="medium">
        <color rgb="FF000000"/>
      </bottom>
    </border>
    <border>
      <left/>
      <bottom style="medium">
        <color rgb="FF000000"/>
      </bottom>
    </border>
    <border>
      <right/>
      <bottom style="medium">
        <color rgb="FF000000"/>
      </bottom>
    </border>
    <border>
      <left/>
      <right style="medium">
        <color rgb="FF000000"/>
      </right>
      <top/>
      <bottom style="thin">
        <color rgb="FF000000"/>
      </bottom>
    </border>
    <border>
      <left/>
      <top/>
      <bottom style="thin">
        <color rgb="FF000000"/>
      </bottom>
    </border>
    <border>
      <top/>
      <bottom style="thin">
        <color rgb="FF000000"/>
      </bottom>
    </border>
    <border>
      <right/>
      <top/>
      <bottom style="thin">
        <color rgb="FF000000"/>
      </bottom>
    </border>
    <border>
      <left style="medium">
        <color rgb="FF000000"/>
      </left>
      <right style="thin">
        <color rgb="FF000000"/>
      </right>
      <top style="thin">
        <color rgb="FF000000"/>
      </top>
      <bottom/>
    </border>
    <border>
      <left style="medium">
        <color rgb="FF000000"/>
      </left>
      <right/>
      <top style="thin">
        <color rgb="FF000000"/>
      </top>
      <bottom/>
    </border>
    <border>
      <left style="medium">
        <color rgb="FF000000"/>
      </left>
      <right style="thin">
        <color rgb="FF000000"/>
      </right>
      <top style="thin">
        <color rgb="FF000000"/>
      </top>
    </border>
    <border>
      <left style="medium">
        <color rgb="FF000000"/>
      </left>
      <right/>
      <top style="medium">
        <color rgb="FF000000"/>
      </top>
      <bottom style="medium">
        <color rgb="FF000000"/>
      </bottom>
    </border>
    <border>
      <left/>
      <right style="medium">
        <color rgb="FF000000"/>
      </right>
      <top style="medium">
        <color rgb="FF000000"/>
      </top>
      <bottom style="medium">
        <color rgb="FF000000"/>
      </bottom>
    </border>
    <border>
      <left/>
      <right/>
      <top style="medium">
        <color rgb="FF000000"/>
      </top>
      <bottom style="medium">
        <color rgb="FF000000"/>
      </bottom>
    </border>
    <border>
      <left/>
      <top style="medium">
        <color rgb="FF000000"/>
      </top>
      <bottom style="medium">
        <color rgb="FF000000"/>
      </bottom>
    </border>
    <border>
      <right/>
      <top style="medium">
        <color rgb="FF000000"/>
      </top>
      <bottom style="medium">
        <color rgb="FF000000"/>
      </bottom>
    </border>
    <border>
      <left style="medium">
        <color rgb="FF000000"/>
      </left>
      <right style="medium">
        <color rgb="FF000000"/>
      </right>
      <top/>
      <bottom style="medium">
        <color rgb="FF000000"/>
      </bottom>
    </border>
    <border>
      <left/>
      <right style="thin">
        <color rgb="FF000000"/>
      </right>
      <top style="medium">
        <color rgb="FF000000"/>
      </top>
    </border>
    <border>
      <left style="medium">
        <color rgb="FF000000"/>
      </left>
      <right/>
      <top/>
      <bottom style="medium">
        <color rgb="FF000000"/>
      </bottom>
    </border>
    <border>
      <left style="thin">
        <color rgb="FF000000"/>
      </left>
      <bottom style="medium">
        <color rgb="FF000000"/>
      </bottom>
    </border>
    <border>
      <left style="medium">
        <color rgb="FF000000"/>
      </left>
      <right style="thin">
        <color rgb="FF000000"/>
      </right>
      <top/>
      <bottom style="medium">
        <color rgb="FF000000"/>
      </bottom>
    </border>
    <border>
      <left style="thin">
        <color rgb="FF000000"/>
      </left>
      <right style="medium">
        <color rgb="FF000000"/>
      </right>
      <top/>
      <bottom style="medium">
        <color rgb="FF000000"/>
      </bottom>
    </border>
    <border>
      <left/>
      <right style="thin">
        <color rgb="FF000000"/>
      </right>
      <top/>
      <bottom/>
    </border>
    <border>
      <left/>
      <right style="thin">
        <color rgb="FF000000"/>
      </right>
      <bottom style="medium">
        <color rgb="FF000000"/>
      </bottom>
    </border>
    <border>
      <left/>
      <right style="thin">
        <color rgb="FF000000"/>
      </right>
      <top/>
      <bottom style="medium">
        <color rgb="FF000000"/>
      </bottom>
    </border>
    <border>
      <left style="thin">
        <color rgb="FF000000"/>
      </left>
      <right/>
      <top/>
      <bottom style="medium">
        <color rgb="FF000000"/>
      </bottom>
    </border>
    <border>
      <left style="thin">
        <color rgb="FF000000"/>
      </left>
      <top/>
      <bottom style="thin">
        <color rgb="FF000000"/>
      </bottom>
    </border>
    <border>
      <right style="medium">
        <color rgb="FF000000"/>
      </right>
      <top/>
      <bottom style="thin">
        <color rgb="FF000000"/>
      </bottom>
    </border>
    <border>
      <left style="medium">
        <color rgb="FF000000"/>
      </left>
      <right style="medium">
        <color rgb="FF000000"/>
      </right>
      <top/>
      <bottom style="thin">
        <color rgb="FF000000"/>
      </bottom>
    </border>
    <border>
      <left style="thin">
        <color rgb="FF000000"/>
      </left>
      <right/>
      <top style="thin">
        <color rgb="FF000000"/>
      </top>
      <bottom style="thin">
        <color rgb="FF000000"/>
      </bottom>
    </border>
    <border>
      <left style="thin">
        <color rgb="FF000000"/>
      </left>
      <right/>
      <top style="medium">
        <color rgb="FF000000"/>
      </top>
      <bottom style="thin">
        <color rgb="FF000000"/>
      </bottom>
    </border>
    <border>
      <left/>
      <right style="thin">
        <color rgb="FF000000"/>
      </right>
      <top style="medium">
        <color rgb="FF000000"/>
      </top>
      <bottom style="thin">
        <color rgb="FF000000"/>
      </bottom>
    </border>
    <border>
      <left style="thin">
        <color rgb="FF000000"/>
      </left>
      <top/>
      <bottom style="medium">
        <color rgb="FF000000"/>
      </bottom>
    </border>
    <border>
      <right style="medium">
        <color rgb="FF000000"/>
      </right>
      <top/>
      <bottom style="medium">
        <color rgb="FF000000"/>
      </bottom>
    </border>
    <border>
      <left style="thin">
        <color rgb="FF000000"/>
      </left>
      <right/>
      <top style="thin">
        <color rgb="FF000000"/>
      </top>
      <bottom/>
    </border>
    <border>
      <left style="medium">
        <color rgb="FF000000"/>
      </left>
      <right style="medium">
        <color rgb="FF000000"/>
      </right>
      <top style="medium">
        <color rgb="FF000000"/>
      </top>
      <bottom style="medium">
        <color rgb="FF000000"/>
      </bottom>
    </border>
    <border>
      <left/>
      <right/>
      <top/>
      <bottom style="medium">
        <color rgb="FF000000"/>
      </bottom>
    </border>
    <border>
      <left/>
      <right style="thin">
        <color rgb="FF000000"/>
      </right>
      <top style="medium">
        <color rgb="FF000000"/>
      </top>
      <bottom style="medium">
        <color rgb="FF000000"/>
      </bottom>
    </border>
    <border>
      <right style="thin">
        <color rgb="FF000000"/>
      </right>
      <bottom style="medium">
        <color rgb="FF000000"/>
      </bottom>
    </border>
    <border>
      <right/>
      <top style="thin">
        <color rgb="FF000000"/>
      </top>
      <bottom style="medium">
        <color rgb="FF000000"/>
      </bottom>
    </border>
    <border>
      <left/>
      <top style="thin">
        <color rgb="FF000000"/>
      </top>
      <bottom style="medium">
        <color rgb="FF000000"/>
      </bottom>
    </border>
    <border>
      <left/>
      <top style="medium">
        <color rgb="FF000000"/>
      </top>
      <bottom/>
    </border>
    <border>
      <top style="medium">
        <color rgb="FF000000"/>
      </top>
      <bottom/>
    </border>
    <border>
      <right/>
      <top style="medium">
        <color rgb="FF000000"/>
      </top>
      <bottom/>
    </border>
    <border>
      <right/>
      <top style="thin">
        <color rgb="FF000000"/>
      </top>
    </border>
    <border>
      <left style="medium">
        <color rgb="FF000000"/>
      </left>
      <bottom/>
    </border>
    <border>
      <left style="thin">
        <color rgb="FF000000"/>
      </left>
      <right style="medium">
        <color rgb="FF000000"/>
      </right>
      <top style="medium">
        <color rgb="FF000000"/>
      </top>
    </border>
    <border>
      <left style="medium">
        <color rgb="FF000000"/>
      </left>
      <right style="medium">
        <color rgb="FF000000"/>
      </right>
      <top style="medium">
        <color rgb="FF000000"/>
      </top>
      <bottom/>
    </border>
    <border>
      <right style="medium">
        <color rgb="FF000000"/>
      </right>
      <bottom/>
    </border>
    <border>
      <left style="thin">
        <color rgb="FF000000"/>
      </left>
      <right style="medium">
        <color rgb="FF000000"/>
      </right>
      <bottom style="medium">
        <color rgb="FF000000"/>
      </bottom>
    </border>
    <border>
      <left/>
      <right style="medium">
        <color rgb="FF000000"/>
      </right>
      <top/>
      <bottom style="medium">
        <color rgb="FF000000"/>
      </bottom>
    </border>
    <border>
      <left style="medium">
        <color rgb="FF000000"/>
      </left>
      <top/>
      <bottom style="medium">
        <color rgb="FF000000"/>
      </bottom>
    </border>
    <border>
      <top/>
      <bottom style="medium">
        <color rgb="FF000000"/>
      </bottom>
    </border>
    <border>
      <left style="thin">
        <color rgb="FF000000"/>
      </left>
      <right style="thin">
        <color rgb="FF000000"/>
      </right>
      <top/>
      <bottom style="medium">
        <color rgb="FF000000"/>
      </bottom>
    </border>
    <border>
      <left/>
      <right/>
      <top/>
      <bottom style="thin">
        <color rgb="FF000000"/>
      </bottom>
    </border>
    <border>
      <left style="medium">
        <color rgb="FF000000"/>
      </left>
      <top/>
      <bottom style="thin">
        <color rgb="FF000000"/>
      </bottom>
    </border>
    <border>
      <left style="medium">
        <color rgb="FF000000"/>
      </left>
      <right style="thin">
        <color rgb="FF000000"/>
      </right>
    </border>
    <border>
      <left style="thin">
        <color rgb="FF000000"/>
      </left>
      <right style="medium">
        <color rgb="FF000000"/>
      </right>
    </border>
    <border>
      <left style="thin">
        <color rgb="FF000000"/>
      </left>
      <right/>
      <top style="medium">
        <color rgb="FF000000"/>
      </top>
    </border>
    <border>
      <left style="thin">
        <color rgb="FF000000"/>
      </left>
      <top style="thin">
        <color rgb="FF000000"/>
      </top>
      <bottom/>
    </border>
    <border>
      <right style="medium">
        <color rgb="FF000000"/>
      </right>
      <top style="thin">
        <color rgb="FF000000"/>
      </top>
      <bottom/>
    </border>
    <border>
      <left style="thin">
        <color rgb="FF000000"/>
      </left>
      <right/>
      <bottom style="thin">
        <color rgb="FF000000"/>
      </bottom>
    </border>
    <border>
      <left style="thin">
        <color rgb="FF000000"/>
      </left>
      <right/>
      <top/>
      <bottom style="thin">
        <color rgb="FF000000"/>
      </bottom>
    </border>
    <border>
      <left style="medium">
        <color rgb="FF000000"/>
      </left>
      <top style="medium">
        <color rgb="FF000000"/>
      </top>
      <bottom/>
    </border>
    <border>
      <right style="medium">
        <color rgb="FF000000"/>
      </right>
      <top style="medium">
        <color rgb="FF000000"/>
      </top>
      <bottom/>
    </border>
    <border>
      <right style="thin">
        <color rgb="FF000000"/>
      </right>
      <top style="medium">
        <color rgb="FF000000"/>
      </top>
      <bottom/>
    </border>
    <border>
      <left/>
      <right style="medium">
        <color rgb="FF000000"/>
      </right>
      <top style="medium">
        <color rgb="FF000000"/>
      </top>
      <bottom style="thin">
        <color rgb="FF000000"/>
      </bottom>
    </border>
    <border>
      <left style="medium">
        <color rgb="FF000000"/>
      </left>
      <right style="medium">
        <color rgb="FF000000"/>
      </right>
      <bottom/>
    </border>
    <border>
      <left style="medium">
        <color rgb="FF000000"/>
      </left>
      <right/>
      <top/>
      <bottom/>
    </border>
    <border>
      <left style="thin">
        <color rgb="FF000000"/>
      </left>
      <bottom/>
    </border>
    <border>
      <right/>
      <top style="thin">
        <color rgb="FF000000"/>
      </top>
      <bottom style="thin">
        <color rgb="FF000000"/>
      </bottom>
    </border>
    <border>
      <left/>
      <top/>
      <bottom style="medium">
        <color rgb="FF000000"/>
      </bottom>
    </border>
    <border>
      <right/>
      <top/>
      <bottom style="medium">
        <color rgb="FF000000"/>
      </bottom>
    </border>
    <border>
      <left/>
      <right style="medium">
        <color rgb="FF000000"/>
      </right>
      <top style="thin">
        <color rgb="FF000000"/>
      </top>
      <bottom style="medium">
        <color rgb="FF000000"/>
      </bottom>
    </border>
    <border>
      <left style="thin">
        <color rgb="FF000000"/>
      </left>
      <right style="thin">
        <color rgb="FF000000"/>
      </right>
      <top/>
    </border>
    <border>
      <right style="thin">
        <color rgb="FF000000"/>
      </right>
      <top/>
      <bottom style="thin">
        <color rgb="FF000000"/>
      </bottom>
    </border>
    <border>
      <left style="thin">
        <color rgb="FF000000"/>
      </left>
      <right style="thin">
        <color rgb="FF000000"/>
      </right>
      <top style="medium">
        <color rgb="FF000000"/>
      </top>
    </border>
    <border>
      <left style="thin">
        <color rgb="FF000000"/>
      </left>
      <right style="thin">
        <color rgb="FF000000"/>
      </right>
      <bottom style="medium">
        <color rgb="FF000000"/>
      </bottom>
    </border>
    <border>
      <left style="thin">
        <color rgb="FF000000"/>
      </left>
      <right style="thin">
        <color rgb="FF000000"/>
      </right>
      <bottom/>
    </border>
    <border>
      <left style="thin">
        <color rgb="FF000000"/>
      </left>
      <right style="thin">
        <color rgb="FF000000"/>
      </right>
    </border>
  </borders>
  <cellStyleXfs count="1">
    <xf borderId="0" fillId="0" fontId="0" numFmtId="0" applyAlignment="1" applyFont="1"/>
  </cellStyleXfs>
  <cellXfs count="844">
    <xf borderId="0" fillId="0" fontId="0" numFmtId="0" xfId="0" applyAlignment="1" applyFont="1">
      <alignment readingOrder="0" shrinkToFit="0" vertical="bottom" wrapText="0"/>
    </xf>
    <xf borderId="1" fillId="2" fontId="1" numFmtId="0" xfId="0" applyBorder="1" applyFill="1" applyFont="1"/>
    <xf borderId="2" fillId="2" fontId="2" numFmtId="0" xfId="0" applyAlignment="1" applyBorder="1" applyFont="1">
      <alignment horizontal="center" vertical="center"/>
    </xf>
    <xf borderId="3" fillId="0" fontId="3" numFmtId="0" xfId="0" applyBorder="1" applyFont="1"/>
    <xf borderId="4" fillId="0" fontId="3" numFmtId="0" xfId="0" applyBorder="1" applyFont="1"/>
    <xf borderId="5" fillId="0" fontId="3" numFmtId="0" xfId="0" applyBorder="1" applyFont="1"/>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 fillId="2" fontId="4" numFmtId="0" xfId="0" applyBorder="1" applyFont="1"/>
    <xf borderId="2" fillId="2" fontId="5" numFmtId="0" xfId="0" applyAlignment="1" applyBorder="1" applyFont="1">
      <alignment horizontal="center" shrinkToFit="0" vertical="center" wrapText="1"/>
    </xf>
    <xf borderId="2" fillId="2" fontId="6" numFmtId="0" xfId="0" applyAlignment="1" applyBorder="1" applyFont="1">
      <alignment horizontal="center" vertical="center"/>
    </xf>
    <xf borderId="10" fillId="2" fontId="7" numFmtId="0" xfId="0" applyAlignment="1" applyBorder="1" applyFont="1">
      <alignment horizontal="center"/>
    </xf>
    <xf borderId="11" fillId="0" fontId="3" numFmtId="0" xfId="0" applyBorder="1" applyFont="1"/>
    <xf borderId="12" fillId="0" fontId="3" numFmtId="0" xfId="0" applyBorder="1" applyFont="1"/>
    <xf borderId="10" fillId="2" fontId="1" numFmtId="49" xfId="0" applyAlignment="1" applyBorder="1" applyFont="1" applyNumberFormat="1">
      <alignment horizontal="center"/>
    </xf>
    <xf borderId="10" fillId="2" fontId="1" numFmtId="0" xfId="0" applyAlignment="1" applyBorder="1" applyFont="1">
      <alignment horizontal="center"/>
    </xf>
    <xf borderId="13" fillId="2" fontId="1" numFmtId="0" xfId="0" applyAlignment="1" applyBorder="1" applyFont="1">
      <alignment horizontal="center" vertical="top"/>
    </xf>
    <xf borderId="2" fillId="2" fontId="1" numFmtId="0" xfId="0" applyAlignment="1" applyBorder="1" applyFont="1">
      <alignment horizontal="left" shrinkToFit="0" vertical="top" wrapText="1"/>
    </xf>
    <xf borderId="14" fillId="0" fontId="3" numFmtId="0" xfId="0" applyBorder="1" applyFont="1"/>
    <xf borderId="1" fillId="2" fontId="8" numFmtId="0" xfId="0" applyAlignment="1" applyBorder="1" applyFont="1">
      <alignment horizontal="left" vertical="center"/>
    </xf>
    <xf borderId="10" fillId="2" fontId="9" numFmtId="0" xfId="0" applyAlignment="1" applyBorder="1" applyFont="1">
      <alignment horizontal="center"/>
    </xf>
    <xf borderId="15" fillId="0" fontId="10" numFmtId="0" xfId="0" applyAlignment="1" applyBorder="1" applyFont="1">
      <alignment horizontal="center" shrinkToFit="0" vertical="center" wrapText="1"/>
    </xf>
    <xf borderId="16" fillId="0" fontId="3" numFmtId="0" xfId="0" applyBorder="1" applyFont="1"/>
    <xf borderId="17" fillId="3" fontId="11" numFmtId="0" xfId="0" applyAlignment="1" applyBorder="1" applyFill="1" applyFont="1">
      <alignment horizontal="center" vertical="center"/>
    </xf>
    <xf borderId="18" fillId="0" fontId="3" numFmtId="0" xfId="0" applyBorder="1" applyFont="1"/>
    <xf borderId="19" fillId="0" fontId="3" numFmtId="0" xfId="0" applyBorder="1" applyFont="1"/>
    <xf borderId="20" fillId="0" fontId="3" numFmtId="0" xfId="0" applyBorder="1" applyFont="1"/>
    <xf borderId="21" fillId="0" fontId="3" numFmtId="0" xfId="0" applyBorder="1" applyFont="1"/>
    <xf borderId="22" fillId="0" fontId="3" numFmtId="0" xfId="0" applyBorder="1" applyFont="1"/>
    <xf borderId="23" fillId="0" fontId="3" numFmtId="0" xfId="0" applyBorder="1" applyFont="1"/>
    <xf borderId="24" fillId="0" fontId="3" numFmtId="0" xfId="0" applyBorder="1" applyFont="1"/>
    <xf borderId="25" fillId="4" fontId="10" numFmtId="0" xfId="0" applyAlignment="1" applyBorder="1" applyFill="1" applyFont="1">
      <alignment horizontal="center" vertical="center"/>
    </xf>
    <xf borderId="26" fillId="0" fontId="3" numFmtId="0" xfId="0" applyBorder="1" applyFont="1"/>
    <xf borderId="27" fillId="3" fontId="11" numFmtId="0" xfId="0" applyAlignment="1" applyBorder="1" applyFont="1">
      <alignment horizontal="center" vertical="center"/>
    </xf>
    <xf borderId="28" fillId="0" fontId="3" numFmtId="0" xfId="0" applyBorder="1" applyFont="1"/>
    <xf borderId="29" fillId="0" fontId="3" numFmtId="0" xfId="0" applyBorder="1" applyFont="1"/>
    <xf borderId="25" fillId="5" fontId="10" numFmtId="0" xfId="0" applyAlignment="1" applyBorder="1" applyFill="1" applyFont="1">
      <alignment horizontal="center" vertical="center"/>
    </xf>
    <xf borderId="30" fillId="6" fontId="1" numFmtId="0" xfId="0" applyAlignment="1" applyBorder="1" applyFill="1" applyFont="1">
      <alignment horizontal="center"/>
    </xf>
    <xf borderId="31" fillId="6" fontId="1" numFmtId="0" xfId="0" applyAlignment="1" applyBorder="1" applyFont="1">
      <alignment horizontal="center"/>
    </xf>
    <xf borderId="32" fillId="3" fontId="11" numFmtId="0" xfId="0" applyAlignment="1" applyBorder="1" applyFont="1">
      <alignment horizontal="center" vertical="center"/>
    </xf>
    <xf borderId="33" fillId="0" fontId="3" numFmtId="0" xfId="0" applyBorder="1" applyFont="1"/>
    <xf borderId="34" fillId="0" fontId="3" numFmtId="0" xfId="0" applyBorder="1" applyFont="1"/>
    <xf borderId="30" fillId="7" fontId="1" numFmtId="0" xfId="0" applyAlignment="1" applyBorder="1" applyFill="1" applyFont="1">
      <alignment horizontal="center"/>
    </xf>
    <xf borderId="31" fillId="7" fontId="1" numFmtId="0" xfId="0" applyAlignment="1" applyBorder="1" applyFont="1">
      <alignment horizontal="center"/>
    </xf>
    <xf borderId="35" fillId="8" fontId="12" numFmtId="0" xfId="0" applyAlignment="1" applyBorder="1" applyFill="1" applyFont="1">
      <alignment horizontal="center" vertical="center"/>
    </xf>
    <xf borderId="36" fillId="0" fontId="3" numFmtId="0" xfId="0" applyBorder="1" applyFont="1"/>
    <xf borderId="35" fillId="9" fontId="11" numFmtId="0" xfId="0" applyAlignment="1" applyBorder="1" applyFill="1" applyFont="1">
      <alignment horizontal="center" vertical="center"/>
    </xf>
    <xf borderId="10" fillId="2" fontId="1" numFmtId="0" xfId="0" applyAlignment="1" applyBorder="1" applyFont="1">
      <alignment horizontal="center" shrinkToFit="0" vertical="top" wrapText="1"/>
    </xf>
    <xf borderId="37" fillId="10" fontId="1" numFmtId="0" xfId="0" applyAlignment="1" applyBorder="1" applyFill="1" applyFont="1">
      <alignment horizontal="center"/>
    </xf>
    <xf borderId="38" fillId="0" fontId="3" numFmtId="0" xfId="0" applyBorder="1" applyFont="1"/>
    <xf borderId="39" fillId="3" fontId="11" numFmtId="0" xfId="0" applyAlignment="1" applyBorder="1" applyFont="1">
      <alignment horizontal="center" vertical="center"/>
    </xf>
    <xf borderId="40" fillId="0" fontId="3" numFmtId="0" xfId="0" applyBorder="1" applyFont="1"/>
    <xf borderId="41" fillId="0" fontId="3" numFmtId="0" xfId="0" applyBorder="1" applyFont="1"/>
    <xf borderId="42" fillId="11" fontId="13" numFmtId="0" xfId="0" applyAlignment="1" applyBorder="1" applyFill="1" applyFont="1">
      <alignment horizontal="center" vertical="center"/>
    </xf>
    <xf borderId="43" fillId="0" fontId="3" numFmtId="0" xfId="0" applyBorder="1" applyFont="1"/>
    <xf borderId="44" fillId="7" fontId="13" numFmtId="0" xfId="0" applyAlignment="1" applyBorder="1" applyFont="1">
      <alignment horizontal="center" vertical="center"/>
    </xf>
    <xf borderId="1" fillId="2" fontId="8" numFmtId="0" xfId="0" applyAlignment="1" applyBorder="1" applyFont="1">
      <alignment vertical="center"/>
    </xf>
    <xf borderId="45" fillId="11" fontId="13" numFmtId="0" xfId="0" applyAlignment="1" applyBorder="1" applyFont="1">
      <alignment horizontal="center" vertical="center"/>
    </xf>
    <xf borderId="46" fillId="0" fontId="3" numFmtId="0" xfId="0" applyBorder="1" applyFont="1"/>
    <xf borderId="47" fillId="12" fontId="8" numFmtId="0" xfId="0" applyAlignment="1" applyBorder="1" applyFill="1" applyFont="1">
      <alignment horizontal="center" vertical="center"/>
    </xf>
    <xf borderId="35" fillId="11" fontId="13" numFmtId="0" xfId="0" applyAlignment="1" applyBorder="1" applyFont="1">
      <alignment horizontal="center" vertical="center"/>
    </xf>
    <xf borderId="48" fillId="12" fontId="8" numFmtId="0" xfId="0" applyAlignment="1" applyBorder="1" applyFont="1">
      <alignment horizontal="center" vertical="center"/>
    </xf>
    <xf borderId="48" fillId="12" fontId="14" numFmtId="0" xfId="0" applyAlignment="1" applyBorder="1" applyFont="1">
      <alignment horizontal="center" vertical="center"/>
    </xf>
    <xf borderId="49" fillId="0" fontId="8" numFmtId="164" xfId="0" applyAlignment="1" applyBorder="1" applyFont="1" applyNumberFormat="1">
      <alignment horizontal="center" vertical="center"/>
    </xf>
    <xf borderId="37" fillId="11" fontId="13" numFmtId="0" xfId="0" applyAlignment="1" applyBorder="1" applyFont="1">
      <alignment horizontal="center" vertical="center"/>
    </xf>
    <xf borderId="50" fillId="12" fontId="8" numFmtId="0" xfId="0" applyAlignment="1" applyBorder="1" applyFont="1">
      <alignment horizontal="center" vertical="center"/>
    </xf>
    <xf borderId="1" fillId="2" fontId="15" numFmtId="0" xfId="0" applyAlignment="1" applyBorder="1" applyFont="1">
      <alignment vertical="center"/>
    </xf>
    <xf borderId="1" fillId="2" fontId="5" numFmtId="0" xfId="0" applyAlignment="1" applyBorder="1" applyFont="1">
      <alignment horizontal="left"/>
    </xf>
    <xf borderId="1" fillId="2" fontId="1" numFmtId="0" xfId="0" applyAlignment="1" applyBorder="1" applyFont="1">
      <alignment horizontal="center"/>
    </xf>
    <xf borderId="51" fillId="11" fontId="16" numFmtId="0" xfId="0" applyAlignment="1" applyBorder="1" applyFont="1">
      <alignment horizontal="center" shrinkToFit="0" vertical="center" wrapText="1"/>
    </xf>
    <xf borderId="52" fillId="11" fontId="17" numFmtId="0" xfId="0" applyAlignment="1" applyBorder="1" applyFont="1">
      <alignment horizontal="center" shrinkToFit="0" vertical="center" wrapText="1"/>
    </xf>
    <xf borderId="53" fillId="12" fontId="8" numFmtId="2" xfId="0" applyAlignment="1" applyBorder="1" applyFont="1" applyNumberFormat="1">
      <alignment horizontal="center" vertical="center"/>
    </xf>
    <xf borderId="54" fillId="2" fontId="8" numFmtId="0" xfId="0" applyAlignment="1" applyBorder="1" applyFont="1">
      <alignment horizontal="center" vertical="center"/>
    </xf>
    <xf borderId="1" fillId="2" fontId="1" numFmtId="10" xfId="0" applyBorder="1" applyFont="1" applyNumberFormat="1"/>
    <xf borderId="55" fillId="0" fontId="3" numFmtId="0" xfId="0" applyBorder="1" applyFont="1"/>
    <xf borderId="30" fillId="11" fontId="17" numFmtId="0" xfId="0" applyAlignment="1" applyBorder="1" applyFont="1">
      <alignment horizontal="center" shrinkToFit="0" vertical="center" wrapText="1"/>
    </xf>
    <xf borderId="56" fillId="12" fontId="8" numFmtId="2" xfId="0" applyAlignment="1" applyBorder="1" applyFont="1" applyNumberFormat="1">
      <alignment horizontal="center" vertical="center"/>
    </xf>
    <xf borderId="57" fillId="0" fontId="3" numFmtId="0" xfId="0" applyBorder="1" applyFont="1"/>
    <xf borderId="58" fillId="11" fontId="17" numFmtId="0" xfId="0" applyAlignment="1" applyBorder="1" applyFont="1">
      <alignment horizontal="center" shrinkToFit="0" vertical="center" wrapText="1"/>
    </xf>
    <xf borderId="59" fillId="12" fontId="8" numFmtId="2" xfId="0" applyAlignment="1" applyBorder="1" applyFont="1" applyNumberFormat="1">
      <alignment horizontal="center" vertical="center"/>
    </xf>
    <xf borderId="1" fillId="2" fontId="8" numFmtId="0" xfId="0" applyAlignment="1" applyBorder="1" applyFont="1">
      <alignment horizontal="center" vertical="center"/>
    </xf>
    <xf borderId="1" fillId="2" fontId="8" numFmtId="2" xfId="0" applyAlignment="1" applyBorder="1" applyFont="1" applyNumberFormat="1">
      <alignment horizontal="center" vertical="center"/>
    </xf>
    <xf borderId="10" fillId="2" fontId="8" numFmtId="0" xfId="0" applyAlignment="1" applyBorder="1" applyFont="1">
      <alignment horizontal="center" shrinkToFit="0" vertical="center" wrapText="1"/>
    </xf>
    <xf borderId="10" fillId="2" fontId="18" numFmtId="0" xfId="0" applyAlignment="1" applyBorder="1" applyFont="1">
      <alignment horizontal="center" vertical="center"/>
    </xf>
    <xf borderId="60" fillId="0" fontId="8" numFmtId="164" xfId="0" applyAlignment="1" applyBorder="1" applyFont="1" applyNumberFormat="1">
      <alignment horizontal="center" vertical="center"/>
    </xf>
    <xf borderId="1" fillId="2" fontId="8" numFmtId="0" xfId="0" applyAlignment="1" applyBorder="1" applyFont="1">
      <alignment horizontal="center" shrinkToFit="0" vertical="center" wrapText="1"/>
    </xf>
    <xf borderId="1" fillId="2" fontId="19" numFmtId="0" xfId="0" applyAlignment="1" applyBorder="1" applyFont="1">
      <alignment vertical="center"/>
    </xf>
    <xf borderId="61" fillId="11" fontId="13" numFmtId="0" xfId="0" applyAlignment="1" applyBorder="1" applyFont="1">
      <alignment horizontal="center" vertical="center"/>
    </xf>
    <xf borderId="62" fillId="7" fontId="13" numFmtId="0" xfId="0" applyAlignment="1" applyBorder="1" applyFont="1">
      <alignment horizontal="center" vertical="center"/>
    </xf>
    <xf borderId="63" fillId="11" fontId="13" numFmtId="0" xfId="0" applyAlignment="1" applyBorder="1" applyFont="1">
      <alignment horizontal="center" vertical="center"/>
    </xf>
    <xf borderId="39" fillId="7" fontId="13" numFmtId="0" xfId="0" applyAlignment="1" applyBorder="1" applyFont="1">
      <alignment horizontal="center" vertical="center"/>
    </xf>
    <xf borderId="1" fillId="2" fontId="20" numFmtId="0" xfId="0" applyBorder="1" applyFont="1"/>
    <xf borderId="61" fillId="11" fontId="13" numFmtId="0" xfId="0" applyAlignment="1" applyBorder="1" applyFont="1">
      <alignment horizontal="center" shrinkToFit="0" vertical="center" wrapText="1"/>
    </xf>
    <xf borderId="64" fillId="0" fontId="21" numFmtId="0" xfId="0" applyAlignment="1" applyBorder="1" applyFont="1">
      <alignment horizontal="center" vertical="center"/>
    </xf>
    <xf borderId="53" fillId="13" fontId="8" numFmtId="0" xfId="0" applyAlignment="1" applyBorder="1" applyFill="1" applyFont="1">
      <alignment horizontal="center" shrinkToFit="0" vertical="center" wrapText="1"/>
    </xf>
    <xf borderId="54" fillId="2" fontId="7" numFmtId="0" xfId="0" applyAlignment="1" applyBorder="1" applyFont="1">
      <alignment horizontal="center" shrinkToFit="0" vertical="center" wrapText="1"/>
    </xf>
    <xf borderId="65" fillId="11" fontId="13" numFmtId="0" xfId="0" applyAlignment="1" applyBorder="1" applyFont="1">
      <alignment horizontal="center" shrinkToFit="0" vertical="center" wrapText="1"/>
    </xf>
    <xf borderId="66" fillId="0" fontId="21" numFmtId="0" xfId="0" applyAlignment="1" applyBorder="1" applyFont="1">
      <alignment horizontal="center" vertical="center"/>
    </xf>
    <xf borderId="56" fillId="13" fontId="22" numFmtId="0" xfId="0" applyAlignment="1" applyBorder="1" applyFont="1">
      <alignment horizontal="center" shrinkToFit="0" vertical="center" wrapText="1"/>
    </xf>
    <xf borderId="65" fillId="4" fontId="8" numFmtId="0" xfId="0" applyAlignment="1" applyBorder="1" applyFont="1">
      <alignment horizontal="center" shrinkToFit="0" vertical="center" wrapText="1"/>
    </xf>
    <xf borderId="56" fillId="13" fontId="21" numFmtId="0" xfId="0" applyAlignment="1" applyBorder="1" applyFont="1">
      <alignment horizontal="center" shrinkToFit="0" vertical="center" wrapText="1"/>
    </xf>
    <xf borderId="63" fillId="4" fontId="8" numFmtId="0" xfId="0" applyAlignment="1" applyBorder="1" applyFont="1">
      <alignment horizontal="center" shrinkToFit="0" vertical="center" wrapText="1"/>
    </xf>
    <xf borderId="67" fillId="0" fontId="21" numFmtId="0" xfId="0" applyAlignment="1" applyBorder="1" applyFont="1">
      <alignment horizontal="center" vertical="center"/>
    </xf>
    <xf borderId="59" fillId="13" fontId="21" numFmtId="0" xfId="0" applyAlignment="1" applyBorder="1" applyFont="1">
      <alignment horizontal="center" shrinkToFit="0" vertical="center" wrapText="1"/>
    </xf>
    <xf borderId="1" fillId="2" fontId="22" numFmtId="0" xfId="0" applyAlignment="1" applyBorder="1" applyFont="1">
      <alignment horizontal="center" vertical="center"/>
    </xf>
    <xf borderId="1" fillId="2" fontId="22" numFmtId="0" xfId="0" applyAlignment="1" applyBorder="1" applyFont="1">
      <alignment horizontal="center" shrinkToFit="0" vertical="center" wrapText="1"/>
    </xf>
    <xf borderId="56" fillId="13" fontId="8" numFmtId="0" xfId="0" applyAlignment="1" applyBorder="1" applyFont="1">
      <alignment horizontal="center" shrinkToFit="0" vertical="center" wrapText="1"/>
    </xf>
    <xf borderId="32" fillId="0" fontId="21" numFmtId="0" xfId="0" applyAlignment="1" applyBorder="1" applyFont="1">
      <alignment horizontal="center" shrinkToFit="0" vertical="center" wrapText="1"/>
    </xf>
    <xf borderId="63" fillId="11" fontId="13" numFmtId="0" xfId="0" applyAlignment="1" applyBorder="1" applyFont="1">
      <alignment horizontal="center" shrinkToFit="0" vertical="center" wrapText="1"/>
    </xf>
    <xf borderId="39" fillId="0" fontId="21" numFmtId="0" xfId="0" applyAlignment="1" applyBorder="1" applyFont="1">
      <alignment horizontal="center" shrinkToFit="0" vertical="center" wrapText="1"/>
    </xf>
    <xf borderId="1" fillId="2" fontId="23" numFmtId="0" xfId="0" applyAlignment="1" applyBorder="1" applyFont="1">
      <alignment horizontal="left" shrinkToFit="0" vertical="center" wrapText="1"/>
    </xf>
    <xf borderId="68" fillId="11" fontId="13" numFmtId="0" xfId="0" applyAlignment="1" applyBorder="1" applyFont="1">
      <alignment horizontal="center" shrinkToFit="0" vertical="center" wrapText="1"/>
    </xf>
    <xf borderId="69" fillId="0" fontId="21" numFmtId="0" xfId="0" applyAlignment="1" applyBorder="1" applyFont="1">
      <alignment horizontal="center" vertical="center"/>
    </xf>
    <xf borderId="44" fillId="13" fontId="8" numFmtId="0" xfId="0" applyAlignment="1" applyBorder="1" applyFont="1">
      <alignment horizontal="center" shrinkToFit="0" vertical="center" wrapText="1"/>
    </xf>
    <xf borderId="53" fillId="13" fontId="22" numFmtId="0" xfId="0" applyAlignment="1" applyBorder="1" applyFont="1">
      <alignment horizontal="center" shrinkToFit="0" vertical="center" wrapText="1"/>
    </xf>
    <xf borderId="66" fillId="0" fontId="21" numFmtId="14" xfId="0" applyAlignment="1" applyBorder="1" applyFont="1" applyNumberFormat="1">
      <alignment horizontal="center" vertical="center"/>
    </xf>
    <xf borderId="41" fillId="0" fontId="21" numFmtId="0" xfId="0" applyAlignment="1" applyBorder="1" applyFont="1">
      <alignment horizontal="center" shrinkToFit="0" vertical="center" wrapText="1"/>
    </xf>
    <xf borderId="69" fillId="0" fontId="1" numFmtId="0" xfId="0" applyAlignment="1" applyBorder="1" applyFont="1">
      <alignment horizontal="center" shrinkToFit="0" wrapText="1"/>
    </xf>
    <xf borderId="44" fillId="0" fontId="1" numFmtId="0" xfId="0" applyAlignment="1" applyBorder="1" applyFont="1">
      <alignment horizontal="center" shrinkToFit="0" wrapText="1"/>
    </xf>
    <xf borderId="45" fillId="11" fontId="13" numFmtId="0" xfId="0" applyAlignment="1" applyBorder="1" applyFont="1">
      <alignment horizontal="center"/>
    </xf>
    <xf borderId="70" fillId="0" fontId="3" numFmtId="0" xfId="0" applyBorder="1" applyFont="1"/>
    <xf borderId="53" fillId="7" fontId="13" numFmtId="0" xfId="0" applyAlignment="1" applyBorder="1" applyFont="1">
      <alignment horizontal="center"/>
    </xf>
    <xf borderId="71" fillId="2" fontId="6" numFmtId="0" xfId="0" applyAlignment="1" applyBorder="1" applyFont="1">
      <alignment horizontal="center" vertical="center"/>
    </xf>
    <xf borderId="37" fillId="11" fontId="13" numFmtId="0" xfId="0" applyAlignment="1" applyBorder="1" applyFont="1">
      <alignment horizontal="center"/>
    </xf>
    <xf borderId="59" fillId="7" fontId="13" numFmtId="0" xfId="0" applyAlignment="1" applyBorder="1" applyFont="1">
      <alignment horizontal="center"/>
    </xf>
    <xf borderId="72" fillId="0" fontId="3" numFmtId="0" xfId="0" applyBorder="1" applyFont="1"/>
    <xf borderId="1" fillId="2" fontId="24" numFmtId="0" xfId="0" applyBorder="1" applyFont="1"/>
    <xf borderId="1" fillId="2" fontId="25" numFmtId="0" xfId="0" applyBorder="1" applyFont="1"/>
    <xf borderId="0" fillId="0" fontId="11" numFmtId="0" xfId="0" applyAlignment="1" applyFont="1">
      <alignment horizontal="center" shrinkToFit="0" vertical="center" wrapText="1"/>
    </xf>
    <xf borderId="73" fillId="11" fontId="13" numFmtId="0" xfId="0" applyAlignment="1" applyBorder="1" applyFont="1">
      <alignment vertical="center"/>
    </xf>
    <xf borderId="74" fillId="11" fontId="13" numFmtId="0" xfId="0" applyAlignment="1" applyBorder="1" applyFont="1">
      <alignment horizontal="center" vertical="center"/>
    </xf>
    <xf borderId="75" fillId="11" fontId="13" numFmtId="0" xfId="0" applyAlignment="1" applyBorder="1" applyFont="1">
      <alignment horizontal="center" vertical="center"/>
    </xf>
    <xf borderId="76" fillId="7" fontId="26" numFmtId="0" xfId="0" applyAlignment="1" applyBorder="1" applyFont="1">
      <alignment horizontal="center" vertical="center"/>
    </xf>
    <xf borderId="64" fillId="11" fontId="13" numFmtId="0" xfId="0" applyAlignment="1" applyBorder="1" applyFont="1">
      <alignment horizontal="center" vertical="center"/>
    </xf>
    <xf borderId="64" fillId="0" fontId="8" numFmtId="164" xfId="0" applyAlignment="1" applyBorder="1" applyFont="1" applyNumberFormat="1">
      <alignment horizontal="center" vertical="center"/>
    </xf>
    <xf borderId="53" fillId="0" fontId="8" numFmtId="164" xfId="0" applyAlignment="1" applyBorder="1" applyFont="1" applyNumberFormat="1">
      <alignment horizontal="center" vertical="center"/>
    </xf>
    <xf borderId="77" fillId="0" fontId="3" numFmtId="0" xfId="0" applyBorder="1" applyFont="1"/>
    <xf borderId="67" fillId="13" fontId="1" numFmtId="0" xfId="0" applyAlignment="1" applyBorder="1" applyFont="1">
      <alignment horizontal="center" shrinkToFit="0" vertical="center" wrapText="1"/>
    </xf>
    <xf borderId="67" fillId="0" fontId="1" numFmtId="0" xfId="0" applyAlignment="1" applyBorder="1" applyFont="1">
      <alignment horizontal="center" vertical="center"/>
    </xf>
    <xf borderId="59" fillId="0" fontId="1" numFmtId="0" xfId="0" applyAlignment="1" applyBorder="1" applyFont="1">
      <alignment horizontal="center" vertical="center"/>
    </xf>
    <xf borderId="1" fillId="14" fontId="1" numFmtId="0" xfId="0" applyBorder="1" applyFill="1" applyFont="1"/>
    <xf borderId="78" fillId="7" fontId="26" numFmtId="0" xfId="0" applyAlignment="1" applyBorder="1" applyFont="1">
      <alignment horizontal="center" vertical="center"/>
    </xf>
    <xf borderId="79" fillId="0" fontId="1" numFmtId="164" xfId="0" applyAlignment="1" applyBorder="1" applyFont="1" applyNumberFormat="1">
      <alignment horizontal="center" vertical="center"/>
    </xf>
    <xf borderId="80" fillId="0" fontId="1" numFmtId="164" xfId="0" applyAlignment="1" applyBorder="1" applyFont="1" applyNumberFormat="1">
      <alignment horizontal="center" vertical="center"/>
    </xf>
    <xf borderId="81" fillId="0" fontId="3" numFmtId="0" xfId="0" applyBorder="1" applyFont="1"/>
    <xf borderId="82" fillId="13" fontId="1" numFmtId="0" xfId="0" applyAlignment="1" applyBorder="1" applyFont="1">
      <alignment horizontal="center" shrinkToFit="0" vertical="center" wrapText="1"/>
    </xf>
    <xf borderId="83" fillId="0" fontId="1" numFmtId="0" xfId="0" applyAlignment="1" applyBorder="1" applyFont="1">
      <alignment horizontal="center" vertical="center"/>
    </xf>
    <xf borderId="84" fillId="0" fontId="1" numFmtId="0" xfId="0" applyAlignment="1" applyBorder="1" applyFont="1">
      <alignment horizontal="center" vertical="center"/>
    </xf>
    <xf borderId="1" fillId="2" fontId="19" numFmtId="0" xfId="0" applyAlignment="1" applyBorder="1" applyFont="1">
      <alignment shrinkToFit="0" vertical="center" wrapText="1"/>
    </xf>
    <xf borderId="61" fillId="11" fontId="26" numFmtId="0" xfId="0" applyAlignment="1" applyBorder="1" applyFont="1">
      <alignment horizontal="center" shrinkToFit="0" vertical="center" wrapText="1"/>
    </xf>
    <xf borderId="56" fillId="5" fontId="11" numFmtId="165" xfId="0" applyAlignment="1" applyBorder="1" applyFont="1" applyNumberFormat="1">
      <alignment horizontal="center" shrinkToFit="0" vertical="center" wrapText="1"/>
    </xf>
    <xf borderId="13" fillId="15" fontId="27" numFmtId="0" xfId="0" applyAlignment="1" applyBorder="1" applyFill="1" applyFont="1">
      <alignment horizontal="center" textRotation="90" vertical="center"/>
    </xf>
    <xf borderId="1" fillId="2" fontId="28" numFmtId="0" xfId="0" applyBorder="1" applyFont="1"/>
    <xf borderId="52" fillId="11" fontId="13" numFmtId="0" xfId="0" applyAlignment="1" applyBorder="1" applyFont="1">
      <alignment horizontal="center"/>
    </xf>
    <xf borderId="45" fillId="7" fontId="13" numFmtId="0" xfId="0" applyAlignment="1" applyBorder="1" applyFont="1">
      <alignment horizontal="center"/>
    </xf>
    <xf borderId="15" fillId="0" fontId="1" numFmtId="0" xfId="0" applyAlignment="1" applyBorder="1" applyFont="1">
      <alignment horizontal="left" shrinkToFit="0" vertical="center" wrapText="1"/>
    </xf>
    <xf borderId="1" fillId="2" fontId="29" numFmtId="0" xfId="0" applyAlignment="1" applyBorder="1" applyFont="1">
      <alignment shrinkToFit="0" vertical="center" wrapText="1"/>
    </xf>
    <xf borderId="2" fillId="16" fontId="6" numFmtId="0" xfId="0" applyAlignment="1" applyBorder="1" applyFill="1" applyFont="1">
      <alignment horizontal="center" shrinkToFit="0" vertical="center" wrapText="1"/>
    </xf>
    <xf borderId="65" fillId="11" fontId="26" numFmtId="0" xfId="0" applyAlignment="1" applyBorder="1" applyFont="1">
      <alignment horizontal="center" shrinkToFit="0" vertical="center" wrapText="1"/>
    </xf>
    <xf borderId="85" fillId="0" fontId="3" numFmtId="0" xfId="0" applyBorder="1" applyFont="1"/>
    <xf borderId="58" fillId="11" fontId="13" numFmtId="0" xfId="0" applyAlignment="1" applyBorder="1" applyFont="1">
      <alignment horizontal="center"/>
    </xf>
    <xf borderId="37" fillId="7" fontId="13" numFmtId="0" xfId="0" applyAlignment="1" applyBorder="1" applyFont="1">
      <alignment horizontal="center"/>
    </xf>
    <xf borderId="86" fillId="0" fontId="3" numFmtId="0" xfId="0" applyBorder="1" applyFont="1"/>
    <xf borderId="49" fillId="0" fontId="3" numFmtId="0" xfId="0" applyBorder="1" applyFont="1"/>
    <xf borderId="1" fillId="2" fontId="29" numFmtId="0" xfId="0" applyAlignment="1" applyBorder="1" applyFont="1">
      <alignment horizontal="center" shrinkToFit="0" vertical="center" wrapText="1"/>
    </xf>
    <xf borderId="1" fillId="2" fontId="1" numFmtId="0" xfId="0" applyAlignment="1" applyBorder="1" applyFont="1">
      <alignment horizontal="center" shrinkToFit="0" wrapText="1"/>
    </xf>
    <xf borderId="63" fillId="11" fontId="26" numFmtId="0" xfId="0" applyAlignment="1" applyBorder="1" applyFont="1">
      <alignment horizontal="center" shrinkToFit="0" vertical="center" wrapText="1"/>
    </xf>
    <xf borderId="59" fillId="5" fontId="11" numFmtId="165" xfId="0" applyAlignment="1" applyBorder="1" applyFont="1" applyNumberFormat="1">
      <alignment horizontal="center" shrinkToFit="0" vertical="center" wrapText="1"/>
    </xf>
    <xf borderId="87" fillId="0" fontId="3" numFmtId="0" xfId="0" applyBorder="1" applyFont="1"/>
    <xf borderId="88" fillId="0" fontId="3" numFmtId="0" xfId="0" applyBorder="1" applyFont="1"/>
    <xf borderId="60" fillId="0" fontId="3" numFmtId="0" xfId="0" applyBorder="1" applyFont="1"/>
    <xf borderId="1" fillId="2" fontId="6" numFmtId="0" xfId="0" applyAlignment="1" applyBorder="1" applyFont="1">
      <alignment horizontal="center" shrinkToFit="0" vertical="center" wrapText="1"/>
    </xf>
    <xf borderId="1" fillId="2" fontId="7" numFmtId="0" xfId="0" applyBorder="1" applyFont="1"/>
    <xf borderId="1" fillId="2" fontId="1" numFmtId="0" xfId="0" applyAlignment="1" applyBorder="1" applyFont="1">
      <alignment shrinkToFit="0" wrapText="1"/>
    </xf>
    <xf borderId="1" fillId="2" fontId="28" numFmtId="0" xfId="0" applyAlignment="1" applyBorder="1" applyFont="1">
      <alignment shrinkToFit="0" wrapText="1"/>
    </xf>
    <xf borderId="89" fillId="11" fontId="26" numFmtId="0" xfId="0" applyAlignment="1" applyBorder="1" applyFont="1">
      <alignment horizontal="center" shrinkToFit="0" vertical="center" wrapText="1"/>
    </xf>
    <xf borderId="45" fillId="11" fontId="26" numFmtId="0" xfId="0" applyAlignment="1" applyBorder="1" applyFont="1">
      <alignment horizontal="center" shrinkToFit="0" vertical="center" wrapText="1"/>
    </xf>
    <xf borderId="90" fillId="0" fontId="3" numFmtId="0" xfId="0" applyBorder="1" applyFont="1"/>
    <xf borderId="15" fillId="11" fontId="26" numFmtId="0" xfId="0" applyAlignment="1" applyBorder="1" applyFont="1">
      <alignment horizontal="center" shrinkToFit="0" vertical="center" wrapText="1"/>
    </xf>
    <xf borderId="45" fillId="11" fontId="26" numFmtId="0" xfId="0" applyAlignment="1" applyBorder="1" applyFont="1">
      <alignment horizontal="center" vertical="center"/>
    </xf>
    <xf borderId="45" fillId="11" fontId="30" numFmtId="0" xfId="0" applyAlignment="1" applyBorder="1" applyFont="1">
      <alignment horizontal="center" shrinkToFit="0" vertical="center" wrapText="1"/>
    </xf>
    <xf borderId="91" fillId="11" fontId="30" numFmtId="0" xfId="0" applyAlignment="1" applyBorder="1" applyFont="1">
      <alignment horizontal="center" shrinkToFit="0" vertical="center" wrapText="1"/>
    </xf>
    <xf borderId="10" fillId="2" fontId="30" numFmtId="0" xfId="0" applyAlignment="1" applyBorder="1" applyFont="1">
      <alignment horizontal="center" shrinkToFit="0" vertical="center" wrapText="1"/>
    </xf>
    <xf borderId="51" fillId="11" fontId="30" numFmtId="0" xfId="0" applyAlignment="1" applyBorder="1" applyFont="1">
      <alignment horizontal="center" shrinkToFit="0" vertical="center" wrapText="1"/>
    </xf>
    <xf borderId="92" fillId="11" fontId="30" numFmtId="0" xfId="0" applyAlignment="1" applyBorder="1" applyFont="1">
      <alignment horizontal="center" shrinkToFit="0" vertical="center" wrapText="1"/>
    </xf>
    <xf borderId="93" fillId="0" fontId="3" numFmtId="0" xfId="0" applyBorder="1" applyFont="1"/>
    <xf borderId="39" fillId="6" fontId="26" numFmtId="0" xfId="0" applyAlignment="1" applyBorder="1" applyFont="1">
      <alignment horizontal="center" shrinkToFit="0" vertical="center" wrapText="1"/>
    </xf>
    <xf borderId="67" fillId="11" fontId="26" numFmtId="0" xfId="0" applyAlignment="1" applyBorder="1" applyFont="1">
      <alignment horizontal="center" shrinkToFit="0" vertical="center" wrapText="1"/>
    </xf>
    <xf borderId="59" fillId="11" fontId="26" numFmtId="0" xfId="0" applyAlignment="1" applyBorder="1" applyFont="1">
      <alignment horizontal="center" shrinkToFit="0" vertical="center" wrapText="1"/>
    </xf>
    <xf borderId="35" fillId="11" fontId="30" numFmtId="0" xfId="0" applyAlignment="1" applyBorder="1" applyFont="1">
      <alignment horizontal="center" shrinkToFit="0" vertical="center" wrapText="1"/>
    </xf>
    <xf borderId="56" fillId="11" fontId="30" numFmtId="0" xfId="0" applyAlignment="1" applyBorder="1" applyFont="1">
      <alignment horizontal="center" shrinkToFit="0" vertical="center" wrapText="1"/>
    </xf>
    <xf borderId="31" fillId="11" fontId="30" numFmtId="0" xfId="0" applyAlignment="1" applyBorder="1" applyFont="1">
      <alignment horizontal="center" shrinkToFit="0" vertical="center" wrapText="1"/>
    </xf>
    <xf borderId="1" fillId="2" fontId="30" numFmtId="0" xfId="0" applyAlignment="1" applyBorder="1" applyFont="1">
      <alignment horizontal="center" shrinkToFit="0" vertical="center" wrapText="1"/>
    </xf>
    <xf borderId="65" fillId="11" fontId="30" numFmtId="0" xfId="0" applyAlignment="1" applyBorder="1" applyFont="1">
      <alignment horizontal="center" shrinkToFit="0" vertical="center" wrapText="1"/>
    </xf>
    <xf borderId="66" fillId="11" fontId="30" numFmtId="0" xfId="0" applyAlignment="1" applyBorder="1" applyFont="1">
      <alignment horizontal="center" shrinkToFit="0" vertical="center" wrapText="1"/>
    </xf>
    <xf borderId="94" fillId="0" fontId="3" numFmtId="0" xfId="0" applyBorder="1" applyFont="1"/>
    <xf borderId="95" fillId="0" fontId="3" numFmtId="0" xfId="0" applyBorder="1" applyFont="1"/>
    <xf borderId="96" fillId="7" fontId="26" numFmtId="0" xfId="0" applyAlignment="1" applyBorder="1" applyFont="1">
      <alignment horizontal="center" shrinkToFit="0" vertical="center" wrapText="1"/>
    </xf>
    <xf borderId="97" fillId="12" fontId="1" numFmtId="0" xfId="0" applyAlignment="1" applyBorder="1" applyFont="1">
      <alignment horizontal="center" vertical="center"/>
    </xf>
    <xf borderId="22" fillId="0" fontId="1" numFmtId="0" xfId="0" applyAlignment="1" applyBorder="1" applyFont="1">
      <alignment horizontal="center" shrinkToFit="0" vertical="center" wrapText="1"/>
    </xf>
    <xf borderId="20" fillId="0" fontId="1" numFmtId="0" xfId="0" applyAlignment="1" applyBorder="1" applyFont="1">
      <alignment horizontal="center" shrinkToFit="0" vertical="center" wrapText="1"/>
    </xf>
    <xf borderId="98" fillId="0" fontId="1" numFmtId="2" xfId="0" applyAlignment="1" applyBorder="1" applyFont="1" applyNumberFormat="1">
      <alignment horizontal="center" shrinkToFit="0" vertical="center" wrapText="1"/>
    </xf>
    <xf borderId="79" fillId="0" fontId="1" numFmtId="2" xfId="0" applyAlignment="1" applyBorder="1" applyFont="1" applyNumberFormat="1">
      <alignment horizontal="center" shrinkToFit="0" vertical="center" wrapText="1"/>
    </xf>
    <xf borderId="22" fillId="0" fontId="1" numFmtId="2" xfId="0" applyAlignment="1" applyBorder="1" applyFont="1" applyNumberFormat="1">
      <alignment horizontal="center" shrinkToFit="0" vertical="center" wrapText="1"/>
    </xf>
    <xf borderId="99" fillId="5" fontId="1" numFmtId="2" xfId="0" applyAlignment="1" applyBorder="1" applyFont="1" applyNumberFormat="1">
      <alignment horizontal="center" shrinkToFit="0" vertical="center" wrapText="1"/>
    </xf>
    <xf borderId="99" fillId="5" fontId="1" numFmtId="166" xfId="0" applyAlignment="1" applyBorder="1" applyFont="1" applyNumberFormat="1">
      <alignment horizontal="center" shrinkToFit="0" vertical="center" wrapText="1"/>
    </xf>
    <xf borderId="100" fillId="12" fontId="1" numFmtId="0" xfId="0" applyAlignment="1" applyBorder="1" applyFont="1">
      <alignment horizontal="left" shrinkToFit="0" vertical="top" wrapText="1"/>
    </xf>
    <xf borderId="101" fillId="12" fontId="1" numFmtId="0" xfId="0" applyAlignment="1" applyBorder="1" applyFont="1">
      <alignment horizontal="left" shrinkToFit="0" vertical="top" wrapText="1"/>
    </xf>
    <xf borderId="35" fillId="17" fontId="1" numFmtId="0" xfId="0" applyAlignment="1" applyBorder="1" applyFill="1" applyFont="1">
      <alignment horizontal="center" shrinkToFit="0" vertical="center" wrapText="1"/>
    </xf>
    <xf borderId="56" fillId="17" fontId="1" numFmtId="0" xfId="0" applyAlignment="1" applyBorder="1" applyFont="1">
      <alignment horizontal="center" shrinkToFit="0" vertical="center" wrapText="1"/>
    </xf>
    <xf borderId="31" fillId="17" fontId="1" numFmtId="0" xfId="0" applyAlignment="1" applyBorder="1" applyFont="1">
      <alignment horizontal="center" shrinkToFit="0" vertical="center" wrapText="1"/>
    </xf>
    <xf borderId="1" fillId="2" fontId="1" numFmtId="0" xfId="0" applyAlignment="1" applyBorder="1" applyFont="1">
      <alignment horizontal="center" shrinkToFit="0" vertical="center" wrapText="1"/>
    </xf>
    <xf borderId="65" fillId="17" fontId="1" numFmtId="0" xfId="0" applyAlignment="1" applyBorder="1" applyFont="1">
      <alignment horizontal="center" shrinkToFit="0" vertical="center" wrapText="1"/>
    </xf>
    <xf borderId="66" fillId="17" fontId="1" numFmtId="0" xfId="0" applyAlignment="1" applyBorder="1" applyFont="1">
      <alignment horizontal="center" shrinkToFit="0" vertical="center" wrapText="1"/>
    </xf>
    <xf borderId="65" fillId="17" fontId="1" numFmtId="165" xfId="0" applyAlignment="1" applyBorder="1" applyFont="1" applyNumberFormat="1">
      <alignment horizontal="center" shrinkToFit="0" vertical="center" wrapText="1"/>
    </xf>
    <xf borderId="66" fillId="17" fontId="1" numFmtId="165" xfId="0" applyAlignment="1" applyBorder="1" applyFont="1" applyNumberFormat="1">
      <alignment horizontal="center" shrinkToFit="0" vertical="center" wrapText="1"/>
    </xf>
    <xf borderId="56" fillId="17" fontId="1" numFmtId="2" xfId="0" applyAlignment="1" applyBorder="1" applyFont="1" applyNumberFormat="1">
      <alignment horizontal="center" shrinkToFit="0" vertical="center" wrapText="1"/>
    </xf>
    <xf borderId="48" fillId="17" fontId="1" numFmtId="0" xfId="0" applyAlignment="1" applyBorder="1" applyFont="1">
      <alignment horizontal="center" shrinkToFit="0" vertical="center" wrapText="1"/>
    </xf>
    <xf borderId="102" fillId="17" fontId="1" numFmtId="0" xfId="0" applyAlignment="1" applyBorder="1" applyFont="1">
      <alignment horizontal="center" shrinkToFit="0" vertical="center" wrapText="1"/>
    </xf>
    <xf borderId="30" fillId="7" fontId="26" numFmtId="0" xfId="0" applyAlignment="1" applyBorder="1" applyFont="1">
      <alignment horizontal="center" shrinkToFit="0" vertical="center" wrapText="1"/>
    </xf>
    <xf borderId="32" fillId="0" fontId="1" numFmtId="0" xfId="0" applyAlignment="1" applyBorder="1" applyFont="1">
      <alignment horizontal="center" shrinkToFit="0" vertical="center" wrapText="1"/>
    </xf>
    <xf borderId="66" fillId="0" fontId="1" numFmtId="2" xfId="0" applyAlignment="1" applyBorder="1" applyFont="1" applyNumberFormat="1">
      <alignment horizontal="center" shrinkToFit="0" vertical="center" wrapText="1"/>
    </xf>
    <xf borderId="66" fillId="5" fontId="1" numFmtId="2" xfId="0" applyAlignment="1" applyBorder="1" applyFont="1" applyNumberFormat="1">
      <alignment horizontal="center" shrinkToFit="0" vertical="center" wrapText="1"/>
    </xf>
    <xf borderId="66" fillId="5" fontId="1" numFmtId="166" xfId="0" applyAlignment="1" applyBorder="1" applyFont="1" applyNumberFormat="1">
      <alignment horizontal="center" shrinkToFit="0" vertical="center" wrapText="1"/>
    </xf>
    <xf borderId="31" fillId="12" fontId="1" numFmtId="0" xfId="0" applyAlignment="1" applyBorder="1" applyFont="1">
      <alignment horizontal="left" shrinkToFit="0" vertical="top" wrapText="1"/>
    </xf>
    <xf borderId="56" fillId="12" fontId="1" numFmtId="0" xfId="0" applyAlignment="1" applyBorder="1" applyFont="1">
      <alignment horizontal="left" shrinkToFit="0" vertical="top" wrapText="1"/>
    </xf>
    <xf borderId="103" fillId="12" fontId="1" numFmtId="0" xfId="0" applyAlignment="1" applyBorder="1" applyFont="1">
      <alignment horizontal="left" shrinkToFit="0" vertical="top" wrapText="1"/>
    </xf>
    <xf borderId="104" fillId="12" fontId="1" numFmtId="0" xfId="0" applyAlignment="1" applyBorder="1" applyFont="1">
      <alignment horizontal="left" shrinkToFit="0" vertical="top" wrapText="1"/>
    </xf>
    <xf borderId="65" fillId="12" fontId="1" numFmtId="0" xfId="0" applyAlignment="1" applyBorder="1" applyFont="1">
      <alignment horizontal="center" vertical="center"/>
    </xf>
    <xf borderId="58" fillId="7" fontId="26" numFmtId="0" xfId="0" applyAlignment="1" applyBorder="1" applyFont="1">
      <alignment horizontal="center" shrinkToFit="0" vertical="center" wrapText="1"/>
    </xf>
    <xf borderId="39" fillId="0" fontId="1" numFmtId="0" xfId="0" applyAlignment="1" applyBorder="1" applyFont="1">
      <alignment horizontal="center" shrinkToFit="0" vertical="center" wrapText="1"/>
    </xf>
    <xf borderId="82" fillId="5" fontId="1" numFmtId="2" xfId="0" applyAlignment="1" applyBorder="1" applyFont="1" applyNumberFormat="1">
      <alignment horizontal="center" shrinkToFit="0" vertical="center" wrapText="1"/>
    </xf>
    <xf borderId="82" fillId="5" fontId="1" numFmtId="166" xfId="0" applyAlignment="1" applyBorder="1" applyFont="1" applyNumberFormat="1">
      <alignment horizontal="center" shrinkToFit="0" vertical="center" wrapText="1"/>
    </xf>
    <xf borderId="105" fillId="12" fontId="1" numFmtId="0" xfId="0" applyAlignment="1" applyBorder="1" applyFont="1">
      <alignment horizontal="left" shrinkToFit="0" vertical="top" wrapText="1"/>
    </xf>
    <xf borderId="59" fillId="12" fontId="1" numFmtId="0" xfId="0" applyAlignment="1" applyBorder="1" applyFont="1">
      <alignment horizontal="left" shrinkToFit="0" vertical="top" wrapText="1"/>
    </xf>
    <xf borderId="68" fillId="13" fontId="1" numFmtId="0" xfId="0" applyAlignment="1" applyBorder="1" applyFont="1">
      <alignment horizontal="center" shrinkToFit="0" vertical="center" wrapText="1"/>
    </xf>
    <xf borderId="106" fillId="13" fontId="1" numFmtId="0" xfId="0" applyAlignment="1" applyBorder="1" applyFont="1">
      <alignment horizontal="center" vertical="center"/>
    </xf>
    <xf borderId="107" fillId="0" fontId="3" numFmtId="0" xfId="0" applyBorder="1" applyFont="1"/>
    <xf borderId="42" fillId="13" fontId="1" numFmtId="0" xfId="0" applyAlignment="1" applyBorder="1" applyFont="1">
      <alignment horizontal="center" shrinkToFit="0" vertical="center" wrapText="1"/>
    </xf>
    <xf borderId="108" fillId="0" fontId="3" numFmtId="0" xfId="0" applyBorder="1" applyFont="1"/>
    <xf borderId="68" fillId="13" fontId="1" numFmtId="2" xfId="0" applyAlignment="1" applyBorder="1" applyFont="1" applyNumberFormat="1">
      <alignment horizontal="center" shrinkToFit="0" vertical="center" wrapText="1"/>
    </xf>
    <xf borderId="69" fillId="13" fontId="1" numFmtId="2" xfId="0" applyAlignment="1" applyBorder="1" applyFont="1" applyNumberFormat="1">
      <alignment horizontal="center" shrinkToFit="0" vertical="center" wrapText="1"/>
    </xf>
    <xf borderId="109" fillId="10" fontId="1" numFmtId="2" xfId="0" applyAlignment="1" applyBorder="1" applyFont="1" applyNumberFormat="1">
      <alignment horizontal="center" shrinkToFit="0" vertical="center" wrapText="1"/>
    </xf>
    <xf borderId="68" fillId="5" fontId="1" numFmtId="165" xfId="0" applyAlignment="1" applyBorder="1" applyFont="1" applyNumberFormat="1">
      <alignment horizontal="center" shrinkToFit="0" vertical="center" wrapText="1"/>
    </xf>
    <xf borderId="69" fillId="5" fontId="1" numFmtId="2" xfId="0" applyAlignment="1" applyBorder="1" applyFont="1" applyNumberFormat="1">
      <alignment horizontal="center" shrinkToFit="0" vertical="center" wrapText="1"/>
    </xf>
    <xf borderId="44" fillId="5" fontId="1" numFmtId="165" xfId="0" applyAlignment="1" applyBorder="1" applyFont="1" applyNumberFormat="1">
      <alignment horizontal="center" shrinkToFit="0" vertical="center" wrapText="1"/>
    </xf>
    <xf borderId="63" fillId="0" fontId="1" numFmtId="0" xfId="0" applyAlignment="1" applyBorder="1" applyFont="1">
      <alignment horizontal="center" shrinkToFit="0" vertical="center" wrapText="1"/>
    </xf>
    <xf borderId="59" fillId="0" fontId="1" numFmtId="0" xfId="0" applyAlignment="1" applyBorder="1" applyFont="1">
      <alignment horizontal="center" shrinkToFit="0" vertical="center" wrapText="1"/>
    </xf>
    <xf borderId="37" fillId="17" fontId="1" numFmtId="0" xfId="0" applyAlignment="1" applyBorder="1" applyFont="1">
      <alignment horizontal="center" shrinkToFit="0" vertical="center" wrapText="1"/>
    </xf>
    <xf borderId="59" fillId="17" fontId="1" numFmtId="0" xfId="0" applyAlignment="1" applyBorder="1" applyFont="1">
      <alignment horizontal="center" shrinkToFit="0" vertical="center" wrapText="1"/>
    </xf>
    <xf borderId="105" fillId="17" fontId="1" numFmtId="0" xfId="0" applyAlignment="1" applyBorder="1" applyFont="1">
      <alignment horizontal="center" shrinkToFit="0" vertical="center" wrapText="1"/>
    </xf>
    <xf borderId="63" fillId="17" fontId="1" numFmtId="0" xfId="0" applyAlignment="1" applyBorder="1" applyFont="1">
      <alignment horizontal="center" shrinkToFit="0" vertical="center" wrapText="1"/>
    </xf>
    <xf borderId="67" fillId="17" fontId="1" numFmtId="0" xfId="0" applyAlignment="1" applyBorder="1" applyFont="1">
      <alignment horizontal="center" shrinkToFit="0" vertical="center" wrapText="1"/>
    </xf>
    <xf borderId="63" fillId="17" fontId="1" numFmtId="2" xfId="0" applyAlignment="1" applyBorder="1" applyFont="1" applyNumberFormat="1">
      <alignment horizontal="center" shrinkToFit="0" vertical="center" wrapText="1"/>
    </xf>
    <xf borderId="67" fillId="17" fontId="1" numFmtId="2" xfId="0" applyAlignment="1" applyBorder="1" applyFont="1" applyNumberFormat="1">
      <alignment horizontal="center" shrinkToFit="0" vertical="center" wrapText="1"/>
    </xf>
    <xf borderId="59" fillId="17" fontId="1" numFmtId="2" xfId="0" applyAlignment="1" applyBorder="1" applyFont="1" applyNumberFormat="1">
      <alignment horizontal="center" shrinkToFit="0" vertical="center" wrapText="1"/>
    </xf>
    <xf borderId="50" fillId="17" fontId="1" numFmtId="0" xfId="0" applyAlignment="1" applyBorder="1" applyFont="1">
      <alignment horizontal="center" shrinkToFit="0" vertical="center" wrapText="1"/>
    </xf>
    <xf borderId="1" fillId="2" fontId="28" numFmtId="0" xfId="0" applyAlignment="1" applyBorder="1" applyFont="1">
      <alignment horizontal="center" shrinkToFit="0" wrapText="1"/>
    </xf>
    <xf borderId="110" fillId="11" fontId="30" numFmtId="0" xfId="0" applyAlignment="1" applyBorder="1" applyFont="1">
      <alignment horizontal="center" shrinkToFit="0" vertical="center" wrapText="1"/>
    </xf>
    <xf borderId="111" fillId="5" fontId="1" numFmtId="2" xfId="0" applyAlignment="1" applyBorder="1" applyFont="1" applyNumberFormat="1">
      <alignment horizontal="center" shrinkToFit="0" vertical="center" wrapText="1"/>
    </xf>
    <xf borderId="112" fillId="5" fontId="1" numFmtId="2" xfId="0" applyAlignment="1" applyBorder="1" applyFont="1" applyNumberFormat="1">
      <alignment horizontal="center" shrinkToFit="0" vertical="center" wrapText="1"/>
    </xf>
    <xf borderId="113" fillId="5" fontId="1" numFmtId="2" xfId="0" applyAlignment="1" applyBorder="1" applyFont="1" applyNumberFormat="1">
      <alignment horizontal="center" shrinkToFit="0" vertical="center" wrapText="1"/>
    </xf>
    <xf borderId="111" fillId="5" fontId="1" numFmtId="165" xfId="0" applyAlignment="1" applyBorder="1" applyFont="1" applyNumberFormat="1">
      <alignment horizontal="center" shrinkToFit="0" vertical="center" wrapText="1"/>
    </xf>
    <xf borderId="114" fillId="5" fontId="1" numFmtId="2" xfId="0" applyAlignment="1" applyBorder="1" applyFont="1" applyNumberFormat="1">
      <alignment horizontal="center" shrinkToFit="0" vertical="center" wrapText="1"/>
    </xf>
    <xf borderId="113" fillId="5" fontId="1" numFmtId="165" xfId="0" applyAlignment="1" applyBorder="1" applyFont="1" applyNumberFormat="1">
      <alignment horizontal="center" shrinkToFit="0" vertical="center" wrapText="1"/>
    </xf>
    <xf borderId="61" fillId="7" fontId="30" numFmtId="0" xfId="0" applyAlignment="1" applyBorder="1" applyFont="1">
      <alignment horizontal="center" shrinkToFit="0" vertical="center" wrapText="1"/>
    </xf>
    <xf borderId="62" fillId="0" fontId="7" numFmtId="0" xfId="0" applyAlignment="1" applyBorder="1" applyFont="1">
      <alignment horizontal="center"/>
    </xf>
    <xf borderId="1" fillId="15" fontId="27" numFmtId="0" xfId="0" applyAlignment="1" applyBorder="1" applyFont="1">
      <alignment horizontal="center" textRotation="90" vertical="center"/>
    </xf>
    <xf borderId="65" fillId="7" fontId="30" numFmtId="0" xfId="0" applyAlignment="1" applyBorder="1" applyFont="1">
      <alignment horizontal="center" shrinkToFit="0" vertical="center" wrapText="1"/>
    </xf>
    <xf borderId="32" fillId="0" fontId="7" numFmtId="0" xfId="0" applyAlignment="1" applyBorder="1" applyFont="1">
      <alignment horizontal="center"/>
    </xf>
    <xf borderId="63" fillId="7" fontId="30" numFmtId="0" xfId="0" applyAlignment="1" applyBorder="1" applyFont="1">
      <alignment horizontal="center" shrinkToFit="0" vertical="center" wrapText="1"/>
    </xf>
    <xf borderId="39" fillId="0" fontId="7" numFmtId="0" xfId="0" applyAlignment="1" applyBorder="1" applyFont="1">
      <alignment horizontal="center"/>
    </xf>
    <xf borderId="62" fillId="11" fontId="26" numFmtId="0" xfId="0" applyAlignment="1" applyBorder="1" applyFont="1">
      <alignment horizontal="center" shrinkToFit="0" vertical="center" wrapText="1"/>
    </xf>
    <xf borderId="115" fillId="0" fontId="3" numFmtId="0" xfId="0" applyBorder="1" applyFont="1"/>
    <xf borderId="116" fillId="11" fontId="26" numFmtId="0" xfId="0" applyAlignment="1" applyBorder="1" applyFont="1">
      <alignment horizontal="center" shrinkToFit="0" vertical="center" wrapText="1"/>
    </xf>
    <xf borderId="117" fillId="11" fontId="26" numFmtId="0" xfId="0" applyAlignment="1" applyBorder="1" applyFont="1">
      <alignment horizontal="center" shrinkToFit="0" vertical="center" wrapText="1"/>
    </xf>
    <xf borderId="118" fillId="0" fontId="3" numFmtId="0" xfId="0" applyBorder="1" applyFont="1"/>
    <xf borderId="119" fillId="11" fontId="26" numFmtId="0" xfId="0" applyAlignment="1" applyBorder="1" applyFont="1">
      <alignment horizontal="center" shrinkToFit="0" vertical="center" wrapText="1"/>
    </xf>
    <xf borderId="39" fillId="11" fontId="26" numFmtId="0" xfId="0" applyAlignment="1" applyBorder="1" applyFont="1">
      <alignment horizontal="center" shrinkToFit="0" vertical="center" wrapText="1"/>
    </xf>
    <xf borderId="120" fillId="0" fontId="3" numFmtId="0" xfId="0" applyBorder="1" applyFont="1"/>
    <xf borderId="121" fillId="0" fontId="3" numFmtId="0" xfId="0" applyBorder="1" applyFont="1"/>
    <xf borderId="122" fillId="0" fontId="3" numFmtId="0" xfId="0" applyBorder="1" applyFont="1"/>
    <xf borderId="97" fillId="12" fontId="1" numFmtId="0" xfId="0" applyAlignment="1" applyBorder="1" applyFont="1">
      <alignment horizontal="center" shrinkToFit="0" vertical="center" wrapText="1"/>
    </xf>
    <xf borderId="80" fillId="0" fontId="1" numFmtId="0" xfId="0" applyAlignment="1" applyBorder="1" applyFont="1">
      <alignment horizontal="center" shrinkToFit="0" vertical="center" wrapText="1"/>
    </xf>
    <xf borderId="123" fillId="18" fontId="1" numFmtId="0" xfId="0" applyAlignment="1" applyBorder="1" applyFill="1" applyFont="1">
      <alignment horizontal="center" shrinkToFit="0" vertical="center" wrapText="1"/>
    </xf>
    <xf borderId="45" fillId="19" fontId="1" numFmtId="0" xfId="0" applyAlignment="1" applyBorder="1" applyFill="1" applyFont="1">
      <alignment horizontal="center" vertical="center"/>
    </xf>
    <xf borderId="23" fillId="0" fontId="1" numFmtId="0" xfId="0" applyAlignment="1" applyBorder="1" applyFont="1">
      <alignment horizontal="center" shrinkToFit="0" vertical="center" wrapText="1"/>
    </xf>
    <xf borderId="20" fillId="0" fontId="1" numFmtId="2" xfId="0" applyAlignment="1" applyBorder="1" applyFont="1" applyNumberFormat="1">
      <alignment horizontal="center" shrinkToFit="0" vertical="center" wrapText="1"/>
    </xf>
    <xf borderId="124" fillId="5" fontId="1" numFmtId="165" xfId="0" applyAlignment="1" applyBorder="1" applyFont="1" applyNumberFormat="1">
      <alignment horizontal="center" shrinkToFit="0" vertical="center" wrapText="1"/>
    </xf>
    <xf borderId="125" fillId="0" fontId="3" numFmtId="0" xfId="0" applyBorder="1" applyFont="1"/>
    <xf borderId="126" fillId="0" fontId="3" numFmtId="0" xfId="0" applyBorder="1" applyFont="1"/>
    <xf borderId="98" fillId="0" fontId="1" numFmtId="0" xfId="0" applyAlignment="1" applyBorder="1" applyFont="1">
      <alignment horizontal="center" shrinkToFit="0" vertical="center" wrapText="1"/>
    </xf>
    <xf borderId="1" fillId="2" fontId="1" numFmtId="1" xfId="0" applyBorder="1" applyFont="1" applyNumberFormat="1"/>
    <xf borderId="56" fillId="17" fontId="1" numFmtId="166" xfId="0" applyAlignment="1" applyBorder="1" applyFont="1" applyNumberFormat="1">
      <alignment horizontal="center" shrinkToFit="0" vertical="center" wrapText="1"/>
    </xf>
    <xf borderId="65" fillId="12" fontId="1" numFmtId="0" xfId="0" applyAlignment="1" applyBorder="1" applyFont="1">
      <alignment horizontal="center" shrinkToFit="0" vertical="center" wrapText="1"/>
    </xf>
    <xf borderId="35" fillId="19" fontId="1" numFmtId="0" xfId="0" applyAlignment="1" applyBorder="1" applyFont="1">
      <alignment horizontal="center" vertical="center"/>
    </xf>
    <xf borderId="33" fillId="0" fontId="1" numFmtId="0" xfId="0" applyAlignment="1" applyBorder="1" applyFont="1">
      <alignment horizontal="center" shrinkToFit="0" vertical="center" wrapText="1"/>
    </xf>
    <xf borderId="65" fillId="0" fontId="1" numFmtId="0" xfId="0" applyAlignment="1" applyBorder="1" applyFont="1">
      <alignment horizontal="center" shrinkToFit="0" vertical="center" wrapText="1"/>
    </xf>
    <xf borderId="56" fillId="0" fontId="1" numFmtId="0" xfId="0" applyAlignment="1" applyBorder="1" applyFont="1">
      <alignment horizontal="center" shrinkToFit="0" vertical="center" wrapText="1"/>
    </xf>
    <xf borderId="127" fillId="12" fontId="1" numFmtId="0" xfId="0" applyAlignment="1" applyBorder="1" applyFont="1">
      <alignment horizontal="center" shrinkToFit="0" vertical="center" wrapText="1"/>
    </xf>
    <xf borderId="128" fillId="7" fontId="26" numFmtId="0" xfId="0" applyAlignment="1" applyBorder="1" applyFont="1">
      <alignment horizontal="center" shrinkToFit="0" vertical="center" wrapText="1"/>
    </xf>
    <xf borderId="28" fillId="0" fontId="1" numFmtId="0" xfId="0" applyAlignment="1" applyBorder="1" applyFont="1">
      <alignment horizontal="center" shrinkToFit="0" vertical="center" wrapText="1"/>
    </xf>
    <xf borderId="129" fillId="0" fontId="1" numFmtId="0" xfId="0" applyAlignment="1" applyBorder="1" applyFont="1">
      <alignment horizontal="center" shrinkToFit="0" vertical="center" wrapText="1"/>
    </xf>
    <xf borderId="84" fillId="0" fontId="1" numFmtId="0" xfId="0" applyAlignment="1" applyBorder="1" applyFont="1">
      <alignment horizontal="center" shrinkToFit="0" vertical="center" wrapText="1"/>
    </xf>
    <xf borderId="130" fillId="7" fontId="26" numFmtId="0" xfId="0" applyAlignment="1" applyBorder="1" applyFont="1">
      <alignment horizontal="center" shrinkToFit="0" vertical="center" wrapText="1"/>
    </xf>
    <xf borderId="44" fillId="13" fontId="1" numFmtId="0" xfId="0" applyAlignment="1" applyBorder="1" applyFont="1">
      <alignment horizontal="center" vertical="center"/>
    </xf>
    <xf borderId="131" fillId="13" fontId="1" numFmtId="0" xfId="0" applyAlignment="1" applyBorder="1" applyFont="1">
      <alignment horizontal="center" vertical="center"/>
    </xf>
    <xf borderId="42" fillId="13" fontId="1" numFmtId="0" xfId="0" applyAlignment="1" applyBorder="1" applyFont="1">
      <alignment horizontal="center" vertical="center"/>
    </xf>
    <xf borderId="132" fillId="13" fontId="1" numFmtId="0" xfId="0" applyAlignment="1" applyBorder="1" applyFont="1">
      <alignment horizontal="center" shrinkToFit="0" vertical="center" wrapText="1"/>
    </xf>
    <xf borderId="42" fillId="13" fontId="1" numFmtId="2" xfId="0" applyAlignment="1" applyBorder="1" applyFont="1" applyNumberFormat="1">
      <alignment horizontal="center" shrinkToFit="0" vertical="center" wrapText="1"/>
    </xf>
    <xf borderId="133" fillId="5" fontId="1" numFmtId="165" xfId="0" applyAlignment="1" applyBorder="1" applyFont="1" applyNumberFormat="1">
      <alignment horizontal="center" shrinkToFit="0" vertical="center" wrapText="1"/>
    </xf>
    <xf borderId="134" fillId="0" fontId="3" numFmtId="0" xfId="0" applyBorder="1" applyFont="1"/>
    <xf borderId="68" fillId="0" fontId="1" numFmtId="0" xfId="0" applyAlignment="1" applyBorder="1" applyFont="1">
      <alignment horizontal="center" shrinkToFit="0" vertical="center" wrapText="1"/>
    </xf>
    <xf borderId="44" fillId="0" fontId="1" numFmtId="0" xfId="0" applyAlignment="1" applyBorder="1" applyFont="1">
      <alignment horizontal="center" shrinkToFit="0" vertical="center" wrapText="1"/>
    </xf>
    <xf borderId="59" fillId="17" fontId="1" numFmtId="166" xfId="0" applyAlignment="1" applyBorder="1" applyFont="1" applyNumberFormat="1">
      <alignment horizontal="center" shrinkToFit="0" vertical="center" wrapText="1"/>
    </xf>
    <xf borderId="42" fillId="5" fontId="1" numFmtId="2" xfId="0" applyAlignment="1" applyBorder="1" applyFont="1" applyNumberFormat="1">
      <alignment horizontal="center" shrinkToFit="0" vertical="center" wrapText="1"/>
    </xf>
    <xf borderId="42" fillId="5" fontId="1" numFmtId="165" xfId="0" applyAlignment="1" applyBorder="1" applyFont="1" applyNumberFormat="1">
      <alignment horizontal="center" shrinkToFit="0" vertical="center" wrapText="1"/>
    </xf>
    <xf borderId="135" fillId="7" fontId="30" numFmtId="0" xfId="0" applyAlignment="1" applyBorder="1" applyFont="1">
      <alignment horizontal="center" shrinkToFit="0" vertical="center" wrapText="1"/>
    </xf>
    <xf borderId="42" fillId="0" fontId="7" numFmtId="0" xfId="0" applyAlignment="1" applyBorder="1" applyFont="1">
      <alignment horizontal="center"/>
    </xf>
    <xf borderId="1" fillId="2" fontId="31" numFmtId="2" xfId="0" applyBorder="1" applyFont="1" applyNumberFormat="1"/>
    <xf borderId="66" fillId="11" fontId="30" numFmtId="0" xfId="0" applyAlignment="1" applyBorder="1" applyFont="1">
      <alignment horizontal="center" vertical="center"/>
    </xf>
    <xf borderId="51" fillId="11" fontId="26" numFmtId="0" xfId="0" applyAlignment="1" applyBorder="1" applyFont="1">
      <alignment horizontal="center" shrinkToFit="0" vertical="center" wrapText="1"/>
    </xf>
    <xf borderId="15" fillId="11" fontId="30" numFmtId="0" xfId="0" applyAlignment="1" applyBorder="1" applyFont="1">
      <alignment horizontal="center" shrinkToFit="0" vertical="center" wrapText="1"/>
    </xf>
    <xf borderId="76" fillId="11" fontId="30" numFmtId="0" xfId="0" applyAlignment="1" applyBorder="1" applyFont="1">
      <alignment horizontal="center" shrinkToFit="0" vertical="center" wrapText="1"/>
    </xf>
    <xf borderId="17" fillId="11" fontId="30" numFmtId="0" xfId="0" applyAlignment="1" applyBorder="1" applyFont="1">
      <alignment horizontal="center" shrinkToFit="0" vertical="center" wrapText="1"/>
    </xf>
    <xf borderId="42" fillId="11" fontId="30" numFmtId="0" xfId="0" applyAlignment="1" applyBorder="1" applyFont="1">
      <alignment horizontal="center" vertical="center"/>
    </xf>
    <xf borderId="136" fillId="11" fontId="30" numFmtId="0" xfId="0" applyAlignment="1" applyBorder="1" applyFont="1">
      <alignment horizontal="center" shrinkToFit="0" vertical="center" wrapText="1"/>
    </xf>
    <xf borderId="47" fillId="6" fontId="1" numFmtId="0" xfId="0" applyBorder="1" applyFont="1"/>
    <xf borderId="64" fillId="17" fontId="1" numFmtId="0" xfId="0" applyAlignment="1" applyBorder="1" applyFont="1">
      <alignment horizontal="center" vertical="center"/>
    </xf>
    <xf borderId="137" fillId="11" fontId="30" numFmtId="0" xfId="0" applyAlignment="1" applyBorder="1" applyFont="1">
      <alignment horizontal="center" vertical="center"/>
    </xf>
    <xf borderId="138" fillId="0" fontId="3" numFmtId="0" xfId="0" applyBorder="1" applyFont="1"/>
    <xf borderId="105" fillId="11" fontId="26" numFmtId="0" xfId="0" applyAlignment="1" applyBorder="1" applyFont="1">
      <alignment horizontal="center" shrinkToFit="0" vertical="center" wrapText="1"/>
    </xf>
    <xf borderId="135" fillId="11" fontId="30" numFmtId="0" xfId="0" applyAlignment="1" applyBorder="1" applyFont="1">
      <alignment horizontal="center" shrinkToFit="0" vertical="center" wrapText="1"/>
    </xf>
    <xf borderId="139" fillId="11" fontId="30" numFmtId="0" xfId="0" applyAlignment="1" applyBorder="1" applyFont="1">
      <alignment horizontal="center" shrinkToFit="0" vertical="center" wrapText="1"/>
    </xf>
    <xf borderId="140" fillId="11" fontId="30" numFmtId="0" xfId="0" applyAlignment="1" applyBorder="1" applyFont="1">
      <alignment horizontal="center" shrinkToFit="0" vertical="center" wrapText="1"/>
    </xf>
    <xf borderId="111" fillId="11" fontId="30" numFmtId="0" xfId="0" applyAlignment="1" applyBorder="1" applyFont="1">
      <alignment horizontal="center" shrinkToFit="0" vertical="center" wrapText="1"/>
    </xf>
    <xf borderId="112" fillId="11" fontId="30" numFmtId="0" xfId="0" applyAlignment="1" applyBorder="1" applyFont="1">
      <alignment horizontal="center" shrinkToFit="0" vertical="center" wrapText="1"/>
    </xf>
    <xf borderId="99" fillId="2" fontId="30" numFmtId="0" xfId="0" applyAlignment="1" applyBorder="1" applyFont="1">
      <alignment horizontal="center" shrinkToFit="0" vertical="center" wrapText="1"/>
    </xf>
    <xf borderId="137" fillId="11" fontId="30" numFmtId="0" xfId="0" applyAlignment="1" applyBorder="1" applyFont="1">
      <alignment horizontal="center" shrinkToFit="0" vertical="center" wrapText="1"/>
    </xf>
    <xf borderId="114" fillId="11" fontId="30" numFmtId="0" xfId="0" applyAlignment="1" applyBorder="1" applyFont="1">
      <alignment horizontal="center" shrinkToFit="0" vertical="center" wrapText="1"/>
    </xf>
    <xf borderId="141" fillId="11" fontId="30" numFmtId="0" xfId="0" applyAlignment="1" applyBorder="1" applyFont="1">
      <alignment horizontal="center" shrinkToFit="0" vertical="center" wrapText="1"/>
    </xf>
    <xf borderId="113" fillId="11" fontId="30" numFmtId="0" xfId="0" applyAlignment="1" applyBorder="1" applyFont="1">
      <alignment horizontal="center" shrinkToFit="0" vertical="center" wrapText="1"/>
    </xf>
    <xf borderId="142" fillId="0" fontId="3" numFmtId="0" xfId="0" applyBorder="1" applyFont="1"/>
    <xf borderId="143" fillId="11" fontId="30" numFmtId="0" xfId="0" applyAlignment="1" applyBorder="1" applyFont="1">
      <alignment horizontal="center" shrinkToFit="0" vertical="center" wrapText="1"/>
    </xf>
    <xf borderId="135" fillId="11" fontId="26" numFmtId="0" xfId="0" applyAlignment="1" applyBorder="1" applyFont="1">
      <alignment horizontal="center" shrinkToFit="0" vertical="center" wrapText="1"/>
    </xf>
    <xf borderId="144" fillId="11" fontId="26" numFmtId="0" xfId="0" applyAlignment="1" applyBorder="1" applyFont="1">
      <alignment horizontal="center" shrinkToFit="0" vertical="center" wrapText="1"/>
    </xf>
    <xf borderId="50" fillId="6" fontId="26" numFmtId="0" xfId="0" applyAlignment="1" applyBorder="1" applyFont="1">
      <alignment horizontal="center" shrinkToFit="0" vertical="center" wrapText="1"/>
    </xf>
    <xf borderId="66" fillId="11" fontId="26" numFmtId="0" xfId="0" applyAlignment="1" applyBorder="1" applyFont="1">
      <alignment horizontal="center" shrinkToFit="0" vertical="center" wrapText="1"/>
    </xf>
    <xf borderId="31" fillId="11" fontId="26" numFmtId="0" xfId="0" applyAlignment="1" applyBorder="1" applyFont="1">
      <alignment horizontal="center" shrinkToFit="0" vertical="center" wrapText="1"/>
    </xf>
    <xf borderId="97" fillId="13" fontId="1" numFmtId="0" xfId="0" applyAlignment="1" applyBorder="1" applyFont="1">
      <alignment horizontal="center" shrinkToFit="0" vertical="center" wrapText="1"/>
    </xf>
    <xf borderId="101" fillId="13" fontId="1" numFmtId="0" xfId="0" applyAlignment="1" applyBorder="1" applyFont="1">
      <alignment horizontal="center" shrinkToFit="0" vertical="center" wrapText="1"/>
    </xf>
    <xf borderId="97" fillId="18" fontId="1" numFmtId="0" xfId="0" applyAlignment="1" applyBorder="1" applyFont="1">
      <alignment horizontal="center" shrinkToFit="0" vertical="center" wrapText="1"/>
    </xf>
    <xf borderId="48" fillId="13" fontId="1" numFmtId="0" xfId="0" applyAlignment="1" applyBorder="1" applyFont="1">
      <alignment horizontal="center" shrinkToFit="0" vertical="center" wrapText="1"/>
    </xf>
    <xf borderId="48" fillId="13" fontId="1" numFmtId="2" xfId="0" applyAlignment="1" applyBorder="1" applyFont="1" applyNumberFormat="1">
      <alignment horizontal="center" vertical="center"/>
    </xf>
    <xf borderId="35" fillId="13" fontId="1" numFmtId="0" xfId="0" applyAlignment="1" applyBorder="1" applyFont="1">
      <alignment horizontal="center" vertical="center"/>
    </xf>
    <xf borderId="97" fillId="5" fontId="1" numFmtId="165" xfId="0" applyAlignment="1" applyBorder="1" applyFont="1" applyNumberFormat="1">
      <alignment horizontal="center" shrinkToFit="0" vertical="center" wrapText="1"/>
    </xf>
    <xf borderId="145" fillId="5" fontId="1" numFmtId="165" xfId="0" applyAlignment="1" applyBorder="1" applyFont="1" applyNumberFormat="1">
      <alignment horizontal="center" shrinkToFit="0" vertical="center" wrapText="1"/>
    </xf>
    <xf borderId="146" fillId="0" fontId="3" numFmtId="0" xfId="0" applyBorder="1" applyFont="1"/>
    <xf borderId="21" fillId="0" fontId="1" numFmtId="0" xfId="0" applyAlignment="1" applyBorder="1" applyFont="1">
      <alignment horizontal="center" shrinkToFit="0" vertical="center" wrapText="1"/>
    </xf>
    <xf borderId="147" fillId="17" fontId="1" numFmtId="0" xfId="0" applyAlignment="1" applyBorder="1" applyFont="1">
      <alignment horizontal="center" shrinkToFit="0" vertical="center" wrapText="1"/>
    </xf>
    <xf borderId="61" fillId="17" fontId="1" numFmtId="0" xfId="0" applyAlignment="1" applyBorder="1" applyFont="1">
      <alignment horizontal="center" shrinkToFit="0" vertical="center" wrapText="1"/>
    </xf>
    <xf borderId="53" fillId="17" fontId="1" numFmtId="0" xfId="0" applyAlignment="1" applyBorder="1" applyFont="1">
      <alignment horizontal="center" shrinkToFit="0" vertical="center" wrapText="1"/>
    </xf>
    <xf borderId="31" fillId="2" fontId="1" numFmtId="0" xfId="0" applyAlignment="1" applyBorder="1" applyFont="1">
      <alignment horizontal="center" shrinkToFit="0" vertical="center" wrapText="1"/>
    </xf>
    <xf borderId="66" fillId="2" fontId="1" numFmtId="0" xfId="0" applyAlignment="1" applyBorder="1" applyFont="1">
      <alignment horizontal="center" shrinkToFit="0" vertical="center" wrapText="1"/>
    </xf>
    <xf borderId="148" fillId="2" fontId="1" numFmtId="0" xfId="0" applyAlignment="1" applyBorder="1" applyFont="1">
      <alignment horizontal="center" shrinkToFit="0" vertical="center" wrapText="1"/>
    </xf>
    <xf borderId="47" fillId="17" fontId="1" numFmtId="0" xfId="0" applyAlignment="1" applyBorder="1" applyFont="1">
      <alignment horizontal="center" shrinkToFit="0" vertical="center" wrapText="1"/>
    </xf>
    <xf borderId="149" fillId="17" fontId="1" numFmtId="0" xfId="0" applyAlignment="1" applyBorder="1" applyFont="1">
      <alignment horizontal="center" shrinkToFit="0" vertical="center" wrapText="1"/>
    </xf>
    <xf borderId="150" fillId="2" fontId="1" numFmtId="0" xfId="0" applyAlignment="1" applyBorder="1" applyFont="1">
      <alignment horizontal="center" shrinkToFit="0" vertical="center" wrapText="1"/>
    </xf>
    <xf borderId="64" fillId="2" fontId="1" numFmtId="0" xfId="0" applyAlignment="1" applyBorder="1" applyFont="1">
      <alignment horizontal="center" shrinkToFit="0" vertical="center" wrapText="1"/>
    </xf>
    <xf borderId="149" fillId="2" fontId="1" numFmtId="0" xfId="0" applyAlignment="1" applyBorder="1" applyFont="1">
      <alignment horizontal="center" shrinkToFit="0" vertical="center" wrapText="1"/>
    </xf>
    <xf borderId="64" fillId="17" fontId="1" numFmtId="0" xfId="0" applyAlignment="1" applyBorder="1" applyFont="1">
      <alignment horizontal="center" shrinkToFit="0" vertical="center" wrapText="1"/>
    </xf>
    <xf borderId="53" fillId="17" fontId="1" numFmtId="166" xfId="0" applyAlignment="1" applyBorder="1" applyFont="1" applyNumberFormat="1">
      <alignment horizontal="center" shrinkToFit="0" vertical="center" wrapText="1"/>
    </xf>
    <xf borderId="52" fillId="17" fontId="1" numFmtId="166" xfId="0" applyAlignment="1" applyBorder="1" applyFont="1" applyNumberFormat="1">
      <alignment horizontal="center" shrinkToFit="0" vertical="center" wrapText="1"/>
    </xf>
    <xf borderId="47" fillId="17" fontId="10" numFmtId="0" xfId="0" applyAlignment="1" applyBorder="1" applyFont="1">
      <alignment horizontal="center" shrinkToFit="0" vertical="center" wrapText="1"/>
    </xf>
    <xf borderId="65" fillId="13" fontId="1" numFmtId="0" xfId="0" applyAlignment="1" applyBorder="1" applyFont="1">
      <alignment horizontal="center" shrinkToFit="0" vertical="center" wrapText="1"/>
    </xf>
    <xf borderId="65" fillId="18" fontId="1" numFmtId="0" xfId="0" applyAlignment="1" applyBorder="1" applyFont="1">
      <alignment horizontal="center" shrinkToFit="0" vertical="center" wrapText="1"/>
    </xf>
    <xf borderId="36" fillId="0" fontId="1" numFmtId="0" xfId="0" applyAlignment="1" applyBorder="1" applyFont="1">
      <alignment horizontal="center" shrinkToFit="0" vertical="center" wrapText="1"/>
    </xf>
    <xf borderId="97" fillId="17" fontId="1" numFmtId="0" xfId="0" applyAlignment="1" applyBorder="1" applyFont="1">
      <alignment horizontal="center" shrinkToFit="0" vertical="center" wrapText="1"/>
    </xf>
    <xf borderId="101" fillId="17" fontId="1" numFmtId="0" xfId="0" applyAlignment="1" applyBorder="1" applyFont="1">
      <alignment horizontal="center" shrinkToFit="0" vertical="center" wrapText="1"/>
    </xf>
    <xf borderId="148" fillId="17" fontId="1" numFmtId="0" xfId="0" applyAlignment="1" applyBorder="1" applyFont="1">
      <alignment horizontal="center" shrinkToFit="0" vertical="center" wrapText="1"/>
    </xf>
    <xf borderId="101" fillId="17" fontId="1" numFmtId="166" xfId="0" applyAlignment="1" applyBorder="1" applyFont="1" applyNumberFormat="1">
      <alignment horizontal="center" shrinkToFit="0" vertical="center" wrapText="1"/>
    </xf>
    <xf borderId="96" fillId="17" fontId="1" numFmtId="166" xfId="0" applyAlignment="1" applyBorder="1" applyFont="1" applyNumberFormat="1">
      <alignment horizontal="center" shrinkToFit="0" vertical="center" wrapText="1"/>
    </xf>
    <xf borderId="48" fillId="17" fontId="10" numFmtId="0" xfId="0" applyAlignment="1" applyBorder="1" applyFont="1">
      <alignment horizontal="center" shrinkToFit="0" vertical="center" wrapText="1"/>
    </xf>
    <xf borderId="63" fillId="13" fontId="1" numFmtId="0" xfId="0" applyAlignment="1" applyBorder="1" applyFont="1">
      <alignment horizontal="center" shrinkToFit="0" vertical="center" wrapText="1"/>
    </xf>
    <xf borderId="140" fillId="13" fontId="1" numFmtId="0" xfId="0" applyAlignment="1" applyBorder="1" applyFont="1">
      <alignment horizontal="center" shrinkToFit="0" vertical="center" wrapText="1"/>
    </xf>
    <xf borderId="63" fillId="18" fontId="1" numFmtId="0" xfId="0" applyAlignment="1" applyBorder="1" applyFont="1">
      <alignment horizontal="center" shrinkToFit="0" vertical="center" wrapText="1"/>
    </xf>
    <xf borderId="50" fillId="13" fontId="1" numFmtId="0" xfId="0" applyAlignment="1" applyBorder="1" applyFont="1">
      <alignment horizontal="center" shrinkToFit="0" vertical="center" wrapText="1"/>
    </xf>
    <xf borderId="50" fillId="13" fontId="1" numFmtId="2" xfId="0" applyAlignment="1" applyBorder="1" applyFont="1" applyNumberFormat="1">
      <alignment horizontal="center" vertical="center"/>
    </xf>
    <xf borderId="37" fillId="13" fontId="1" numFmtId="0" xfId="0" applyAlignment="1" applyBorder="1" applyFont="1">
      <alignment horizontal="center" vertical="center"/>
    </xf>
    <xf borderId="139" fillId="5" fontId="1" numFmtId="165" xfId="0" applyAlignment="1" applyBorder="1" applyFont="1" applyNumberFormat="1">
      <alignment horizontal="center" shrinkToFit="0" vertical="center" wrapText="1"/>
    </xf>
    <xf borderId="151" fillId="5" fontId="1" numFmtId="165" xfId="0" applyAlignment="1" applyBorder="1" applyFont="1" applyNumberFormat="1">
      <alignment horizontal="center" shrinkToFit="0" vertical="center" wrapText="1"/>
    </xf>
    <xf borderId="152" fillId="0" fontId="3" numFmtId="0" xfId="0" applyBorder="1" applyFont="1"/>
    <xf borderId="38" fillId="0" fontId="1" numFmtId="0" xfId="0" applyAlignment="1" applyBorder="1" applyFont="1">
      <alignment horizontal="center" shrinkToFit="0" vertical="center" wrapText="1"/>
    </xf>
    <xf borderId="135" fillId="17" fontId="1" numFmtId="0" xfId="0" applyAlignment="1" applyBorder="1" applyFont="1">
      <alignment horizontal="center" shrinkToFit="0" vertical="center" wrapText="1"/>
    </xf>
    <xf borderId="139" fillId="17" fontId="1" numFmtId="0" xfId="0" applyAlignment="1" applyBorder="1" applyFont="1">
      <alignment horizontal="center" shrinkToFit="0" vertical="center" wrapText="1"/>
    </xf>
    <xf borderId="103" fillId="2" fontId="1" numFmtId="0" xfId="0" applyAlignment="1" applyBorder="1" applyFont="1">
      <alignment horizontal="center" shrinkToFit="0" vertical="center" wrapText="1"/>
    </xf>
    <xf borderId="82" fillId="2" fontId="1" numFmtId="0" xfId="0" applyAlignment="1" applyBorder="1" applyFont="1">
      <alignment horizontal="center" shrinkToFit="0" vertical="center" wrapText="1"/>
    </xf>
    <xf borderId="153" fillId="2" fontId="1" numFmtId="0" xfId="0" applyAlignment="1" applyBorder="1" applyFont="1">
      <alignment horizontal="center" shrinkToFit="0" vertical="center" wrapText="1"/>
    </xf>
    <xf borderId="140" fillId="17" fontId="1" numFmtId="0" xfId="0" applyAlignment="1" applyBorder="1" applyFont="1">
      <alignment horizontal="center" shrinkToFit="0" vertical="center" wrapText="1"/>
    </xf>
    <xf borderId="119" fillId="17" fontId="1" numFmtId="0" xfId="0" applyAlignment="1" applyBorder="1" applyFont="1">
      <alignment horizontal="center" shrinkToFit="0" vertical="center" wrapText="1"/>
    </xf>
    <xf borderId="140" fillId="17" fontId="1" numFmtId="166" xfId="0" applyAlignment="1" applyBorder="1" applyFont="1" applyNumberFormat="1">
      <alignment horizontal="center" shrinkToFit="0" vertical="center" wrapText="1"/>
    </xf>
    <xf borderId="137" fillId="17" fontId="1" numFmtId="166" xfId="0" applyAlignment="1" applyBorder="1" applyFont="1" applyNumberFormat="1">
      <alignment horizontal="center" shrinkToFit="0" vertical="center" wrapText="1"/>
    </xf>
    <xf borderId="50" fillId="17" fontId="10" numFmtId="0" xfId="0" applyAlignment="1" applyBorder="1" applyFont="1">
      <alignment horizontal="center" shrinkToFit="0" vertical="center" wrapText="1"/>
    </xf>
    <xf borderId="109" fillId="13" fontId="1" numFmtId="0" xfId="0" applyAlignment="1" applyBorder="1" applyFont="1">
      <alignment horizontal="center" shrinkToFit="0" vertical="center" wrapText="1"/>
    </xf>
    <xf borderId="106" fillId="13" fontId="1" numFmtId="0" xfId="0" applyAlignment="1" applyBorder="1" applyFont="1">
      <alignment horizontal="center" shrinkToFit="0" vertical="center" wrapText="1"/>
    </xf>
    <xf borderId="154" fillId="13" fontId="1" numFmtId="0" xfId="0" applyAlignment="1" applyBorder="1" applyFont="1">
      <alignment horizontal="center" shrinkToFit="0" vertical="center" wrapText="1"/>
    </xf>
    <xf borderId="154" fillId="13" fontId="1" numFmtId="2" xfId="0" applyAlignment="1" applyBorder="1" applyFont="1" applyNumberFormat="1">
      <alignment horizontal="center" vertical="center"/>
    </xf>
    <xf borderId="106" fillId="5" fontId="1" numFmtId="165" xfId="0" applyAlignment="1" applyBorder="1" applyFont="1" applyNumberFormat="1">
      <alignment horizontal="center" shrinkToFit="0" vertical="center" wrapText="1"/>
    </xf>
    <xf borderId="43" fillId="0" fontId="1" numFmtId="0" xfId="0" applyAlignment="1" applyBorder="1" applyFont="1">
      <alignment horizontal="center" shrinkToFit="0" vertical="center" wrapText="1"/>
    </xf>
    <xf borderId="130" fillId="17" fontId="1" numFmtId="2" xfId="0" applyAlignment="1" applyBorder="1" applyFont="1" applyNumberFormat="1">
      <alignment horizontal="center" shrinkToFit="0" vertical="center" wrapText="1"/>
    </xf>
    <xf borderId="68" fillId="17" fontId="1" numFmtId="0" xfId="0" applyAlignment="1" applyBorder="1" applyFont="1">
      <alignment horizontal="center" shrinkToFit="0" vertical="center" wrapText="1"/>
    </xf>
    <xf borderId="109" fillId="17" fontId="1" numFmtId="0" xfId="0" applyAlignment="1" applyBorder="1" applyFont="1">
      <alignment horizontal="center" shrinkToFit="0" vertical="center" wrapText="1"/>
    </xf>
    <xf borderId="69" fillId="17" fontId="1" numFmtId="0" xfId="0" applyAlignment="1" applyBorder="1" applyFont="1">
      <alignment horizontal="center" shrinkToFit="0" vertical="center" wrapText="1"/>
    </xf>
    <xf borderId="69" fillId="2" fontId="1" numFmtId="0" xfId="0" applyAlignment="1" applyBorder="1" applyFont="1">
      <alignment horizontal="center" shrinkToFit="0" vertical="center" wrapText="1"/>
    </xf>
    <xf borderId="44" fillId="17" fontId="1" numFmtId="0" xfId="0" applyAlignment="1" applyBorder="1" applyFont="1">
      <alignment horizontal="center" shrinkToFit="0" vertical="center" wrapText="1"/>
    </xf>
    <xf borderId="132" fillId="17" fontId="1" numFmtId="0" xfId="0" applyAlignment="1" applyBorder="1" applyFont="1">
      <alignment horizontal="center" shrinkToFit="0" vertical="center" wrapText="1"/>
    </xf>
    <xf borderId="137" fillId="17" fontId="1" numFmtId="0" xfId="0" applyAlignment="1" applyBorder="1" applyFont="1">
      <alignment horizontal="center" shrinkToFit="0" vertical="center" wrapText="1"/>
    </xf>
    <xf borderId="67" fillId="2" fontId="1" numFmtId="0" xfId="0" applyAlignment="1" applyBorder="1" applyFont="1">
      <alignment horizontal="center" shrinkToFit="0" vertical="center" wrapText="1"/>
    </xf>
    <xf borderId="143" fillId="17" fontId="1" numFmtId="0" xfId="0" applyAlignment="1" applyBorder="1" applyFont="1">
      <alignment horizontal="center" shrinkToFit="0" vertical="center" wrapText="1"/>
    </xf>
    <xf borderId="44" fillId="17" fontId="1" numFmtId="166" xfId="0" applyAlignment="1" applyBorder="1" applyFont="1" applyNumberFormat="1">
      <alignment horizontal="center" shrinkToFit="0" vertical="center" wrapText="1"/>
    </xf>
    <xf borderId="155" fillId="17" fontId="1" numFmtId="166" xfId="0" applyAlignment="1" applyBorder="1" applyFont="1" applyNumberFormat="1">
      <alignment horizontal="center" shrinkToFit="0" vertical="center" wrapText="1"/>
    </xf>
    <xf borderId="156" fillId="17" fontId="1" numFmtId="0" xfId="0" applyAlignment="1" applyBorder="1" applyFont="1">
      <alignment horizontal="center" shrinkToFit="0" vertical="center" wrapText="1"/>
    </xf>
    <xf borderId="154" fillId="11" fontId="30" numFmtId="0" xfId="0" applyAlignment="1" applyBorder="1" applyFont="1">
      <alignment horizontal="center" shrinkToFit="0" vertical="center" wrapText="1"/>
    </xf>
    <xf borderId="154" fillId="5" fontId="1" numFmtId="2" xfId="0" applyAlignment="1" applyBorder="1" applyFont="1" applyNumberFormat="1">
      <alignment horizontal="center" shrinkToFit="0" vertical="center" wrapText="1"/>
    </xf>
    <xf borderId="132" fillId="20" fontId="1" numFmtId="0" xfId="0" applyAlignment="1" applyBorder="1" applyFill="1" applyFont="1">
      <alignment shrinkToFit="0" vertical="center" wrapText="1"/>
    </xf>
    <xf borderId="132" fillId="20" fontId="1" numFmtId="0" xfId="0" applyBorder="1" applyFont="1"/>
    <xf borderId="130" fillId="5" fontId="1" numFmtId="165" xfId="0" applyAlignment="1" applyBorder="1" applyFont="1" applyNumberFormat="1">
      <alignment horizontal="center" shrinkToFit="0" vertical="center" wrapText="1"/>
    </xf>
    <xf borderId="76" fillId="11" fontId="26" numFmtId="0" xfId="0" applyAlignment="1" applyBorder="1" applyFont="1">
      <alignment horizontal="center" shrinkToFit="0" vertical="center" wrapText="1"/>
    </xf>
    <xf borderId="17" fillId="11" fontId="26" numFmtId="0" xfId="0" applyAlignment="1" applyBorder="1" applyFont="1">
      <alignment horizontal="center" shrinkToFit="0" vertical="center" wrapText="1"/>
    </xf>
    <xf borderId="157" fillId="0" fontId="3" numFmtId="0" xfId="0" applyBorder="1" applyFont="1"/>
    <xf borderId="37" fillId="11" fontId="26" numFmtId="0" xfId="0" applyAlignment="1" applyBorder="1" applyFont="1">
      <alignment horizontal="center" shrinkToFit="0" vertical="center" wrapText="1"/>
    </xf>
    <xf borderId="45" fillId="7" fontId="26" numFmtId="0" xfId="0" applyAlignment="1" applyBorder="1" applyFont="1">
      <alignment horizontal="center" vertical="center"/>
    </xf>
    <xf borderId="98" fillId="0" fontId="1" numFmtId="1" xfId="0" applyAlignment="1" applyBorder="1" applyFont="1" applyNumberFormat="1">
      <alignment horizontal="center" shrinkToFit="0" vertical="center" wrapText="1"/>
    </xf>
    <xf borderId="62" fillId="0" fontId="1" numFmtId="1" xfId="0" applyAlignment="1" applyBorder="1" applyFont="1" applyNumberFormat="1">
      <alignment horizontal="center" shrinkToFit="0" vertical="center" wrapText="1"/>
    </xf>
    <xf borderId="62" fillId="0" fontId="1" numFmtId="1" xfId="0" applyAlignment="1" applyBorder="1" applyFont="1" applyNumberFormat="1">
      <alignment horizontal="center" vertical="center"/>
    </xf>
    <xf borderId="45" fillId="17" fontId="1" numFmtId="1" xfId="0" applyAlignment="1" applyBorder="1" applyFont="1" applyNumberFormat="1">
      <alignment horizontal="center" shrinkToFit="0" vertical="center" wrapText="1"/>
    </xf>
    <xf borderId="62" fillId="17" fontId="1" numFmtId="1" xfId="0" applyAlignment="1" applyBorder="1" applyFont="1" applyNumberFormat="1">
      <alignment horizontal="center" shrinkToFit="0" vertical="center" wrapText="1"/>
    </xf>
    <xf borderId="35" fillId="7" fontId="26" numFmtId="0" xfId="0" applyAlignment="1" applyBorder="1" applyFont="1">
      <alignment horizontal="center" vertical="center"/>
    </xf>
    <xf borderId="65" fillId="0" fontId="1" numFmtId="1" xfId="0" applyAlignment="1" applyBorder="1" applyFont="1" applyNumberFormat="1">
      <alignment horizontal="center" shrinkToFit="0" vertical="center" wrapText="1"/>
    </xf>
    <xf borderId="32" fillId="0" fontId="1" numFmtId="1" xfId="0" applyAlignment="1" applyBorder="1" applyFont="1" applyNumberFormat="1">
      <alignment horizontal="center" shrinkToFit="0" vertical="center" wrapText="1"/>
    </xf>
    <xf borderId="32" fillId="0" fontId="1" numFmtId="1" xfId="0" applyAlignment="1" applyBorder="1" applyFont="1" applyNumberFormat="1">
      <alignment horizontal="center" vertical="center"/>
    </xf>
    <xf borderId="35" fillId="17" fontId="1" numFmtId="1" xfId="0" applyAlignment="1" applyBorder="1" applyFont="1" applyNumberFormat="1">
      <alignment horizontal="center" shrinkToFit="0" vertical="center" wrapText="1"/>
    </xf>
    <xf borderId="32" fillId="17" fontId="1" numFmtId="1" xfId="0" applyAlignment="1" applyBorder="1" applyFont="1" applyNumberFormat="1">
      <alignment horizontal="center" shrinkToFit="0" vertical="center" wrapText="1"/>
    </xf>
    <xf borderId="37" fillId="7" fontId="26" numFmtId="0" xfId="0" applyAlignment="1" applyBorder="1" applyFont="1">
      <alignment horizontal="center" vertical="center"/>
    </xf>
    <xf borderId="158" fillId="0" fontId="3" numFmtId="0" xfId="0" applyBorder="1" applyFont="1"/>
    <xf borderId="63" fillId="5" fontId="7" numFmtId="1" xfId="0" applyAlignment="1" applyBorder="1" applyFont="1" applyNumberFormat="1">
      <alignment horizontal="center" shrinkToFit="0" vertical="center" wrapText="1"/>
    </xf>
    <xf borderId="39" fillId="5" fontId="7" numFmtId="1" xfId="0" applyAlignment="1" applyBorder="1" applyFont="1" applyNumberFormat="1">
      <alignment horizontal="center" shrinkToFit="0" vertical="center" wrapText="1"/>
    </xf>
    <xf borderId="159" fillId="5" fontId="7" numFmtId="1" xfId="0" applyAlignment="1" applyBorder="1" applyFont="1" applyNumberFormat="1">
      <alignment horizontal="center" shrinkToFit="0" vertical="center" wrapText="1"/>
    </xf>
    <xf borderId="160" fillId="2" fontId="7" numFmtId="0" xfId="0" applyAlignment="1" applyBorder="1" applyFont="1">
      <alignment horizontal="center" vertical="center"/>
    </xf>
    <xf borderId="161" fillId="0" fontId="3" numFmtId="0" xfId="0" applyBorder="1" applyFont="1"/>
    <xf borderId="162" fillId="0" fontId="3" numFmtId="0" xfId="0" applyBorder="1" applyFont="1"/>
    <xf borderId="2" fillId="15" fontId="27" numFmtId="0" xfId="0" applyAlignment="1" applyBorder="1" applyFont="1">
      <alignment horizontal="center" vertical="center"/>
    </xf>
    <xf borderId="45" fillId="11" fontId="13" numFmtId="0" xfId="0" applyAlignment="1" applyBorder="1" applyFont="1">
      <alignment horizontal="center" shrinkToFit="0" vertical="center" wrapText="1"/>
    </xf>
    <xf borderId="90" fillId="0" fontId="8" numFmtId="0" xfId="0" applyAlignment="1" applyBorder="1" applyFont="1">
      <alignment horizontal="center" vertical="center"/>
    </xf>
    <xf borderId="37" fillId="11" fontId="13" numFmtId="0" xfId="0" applyAlignment="1" applyBorder="1" applyFont="1">
      <alignment horizontal="center" shrinkToFit="0" vertical="center" wrapText="1"/>
    </xf>
    <xf borderId="40" fillId="0" fontId="8" numFmtId="0" xfId="0" applyAlignment="1" applyBorder="1" applyFont="1">
      <alignment horizontal="center" vertical="center"/>
    </xf>
    <xf borderId="45" fillId="11" fontId="16" numFmtId="0" xfId="0" applyAlignment="1" applyBorder="1" applyFont="1">
      <alignment horizontal="center" shrinkToFit="0" vertical="center" wrapText="1"/>
    </xf>
    <xf borderId="64" fillId="11" fontId="13" numFmtId="0" xfId="0" applyAlignment="1" applyBorder="1" applyFont="1">
      <alignment horizontal="center" shrinkToFit="0" vertical="center" wrapText="1"/>
    </xf>
    <xf borderId="53" fillId="11" fontId="13" numFmtId="0" xfId="0" applyAlignment="1" applyBorder="1" applyFont="1">
      <alignment horizontal="center" shrinkToFit="0" vertical="center" wrapText="1"/>
    </xf>
    <xf borderId="1" fillId="2" fontId="32" numFmtId="0" xfId="0" applyBorder="1" applyFont="1"/>
    <xf borderId="25" fillId="7" fontId="16" numFmtId="0" xfId="0" applyAlignment="1" applyBorder="1" applyFont="1">
      <alignment horizontal="center" shrinkToFit="0" vertical="center" wrapText="1"/>
    </xf>
    <xf borderId="66" fillId="13" fontId="10" numFmtId="0" xfId="0" applyAlignment="1" applyBorder="1" applyFont="1">
      <alignment horizontal="center" shrinkToFit="0" vertical="center" wrapText="1"/>
    </xf>
    <xf borderId="66" fillId="13" fontId="10" numFmtId="165" xfId="0" applyAlignment="1" applyBorder="1" applyFont="1" applyNumberFormat="1">
      <alignment horizontal="center" shrinkToFit="0" vertical="center" wrapText="1"/>
    </xf>
    <xf borderId="56" fillId="13" fontId="10" numFmtId="165" xfId="0" applyAlignment="1" applyBorder="1" applyFont="1" applyNumberFormat="1">
      <alignment horizontal="center" shrinkToFit="0" vertical="center" wrapText="1"/>
    </xf>
    <xf borderId="66" fillId="13" fontId="10" numFmtId="0" xfId="0" applyAlignment="1" applyBorder="1" applyFont="1">
      <alignment horizontal="center" vertical="center"/>
    </xf>
    <xf borderId="56" fillId="13" fontId="10" numFmtId="165" xfId="0" applyAlignment="1" applyBorder="1" applyFont="1" applyNumberFormat="1">
      <alignment horizontal="center" shrinkToFit="0" wrapText="1"/>
    </xf>
    <xf borderId="163" fillId="0" fontId="3" numFmtId="0" xfId="0" applyBorder="1" applyFont="1"/>
    <xf borderId="164" fillId="0" fontId="3" numFmtId="0" xfId="0" applyBorder="1" applyFont="1"/>
    <xf borderId="82" fillId="13" fontId="10" numFmtId="0" xfId="0" applyAlignment="1" applyBorder="1" applyFont="1">
      <alignment horizontal="center" vertical="center"/>
    </xf>
    <xf borderId="82" fillId="13" fontId="10" numFmtId="165" xfId="0" applyAlignment="1" applyBorder="1" applyFont="1" applyNumberFormat="1">
      <alignment horizontal="center" shrinkToFit="0" vertical="center" wrapText="1"/>
    </xf>
    <xf borderId="104" fillId="13" fontId="10" numFmtId="165" xfId="0" applyAlignment="1" applyBorder="1" applyFont="1" applyNumberFormat="1">
      <alignment horizontal="center" shrinkToFit="0" wrapText="1"/>
    </xf>
    <xf borderId="67" fillId="13" fontId="10" numFmtId="0" xfId="0" applyAlignment="1" applyBorder="1" applyFont="1">
      <alignment horizontal="center" vertical="center"/>
    </xf>
    <xf borderId="67" fillId="13" fontId="10" numFmtId="165" xfId="0" applyAlignment="1" applyBorder="1" applyFont="1" applyNumberFormat="1">
      <alignment horizontal="center" shrinkToFit="0" vertical="center" wrapText="1"/>
    </xf>
    <xf borderId="59" fillId="13" fontId="10" numFmtId="165" xfId="0" applyAlignment="1" applyBorder="1" applyFont="1" applyNumberFormat="1">
      <alignment horizontal="center" shrinkToFit="0" vertical="center" wrapText="1"/>
    </xf>
    <xf borderId="74" fillId="11" fontId="13" numFmtId="0" xfId="0" applyAlignment="1" applyBorder="1" applyFont="1">
      <alignment horizontal="center" shrinkToFit="0" vertical="center" wrapText="1"/>
    </xf>
    <xf borderId="75" fillId="11" fontId="13" numFmtId="0" xfId="0" applyAlignment="1" applyBorder="1" applyFont="1">
      <alignment horizontal="center" shrinkToFit="0" vertical="center" wrapText="1"/>
    </xf>
    <xf borderId="35" fillId="7" fontId="16" numFmtId="0" xfId="0" applyAlignment="1" applyBorder="1" applyFont="1">
      <alignment horizontal="center" shrinkToFit="0" vertical="center" wrapText="1"/>
    </xf>
    <xf borderId="66" fillId="13" fontId="10" numFmtId="166" xfId="0" applyAlignment="1" applyBorder="1" applyFont="1" applyNumberFormat="1">
      <alignment horizontal="center" shrinkToFit="0" vertical="center" wrapText="1"/>
    </xf>
    <xf borderId="56" fillId="13" fontId="11" numFmtId="165" xfId="0" applyAlignment="1" applyBorder="1" applyFont="1" applyNumberFormat="1">
      <alignment horizontal="center" shrinkToFit="0" vertical="center" wrapText="1"/>
    </xf>
    <xf borderId="37" fillId="7" fontId="16" numFmtId="0" xfId="0" applyAlignment="1" applyBorder="1" applyFont="1">
      <alignment horizontal="center" shrinkToFit="0" vertical="center" wrapText="1"/>
    </xf>
    <xf borderId="39" fillId="13" fontId="10" numFmtId="165" xfId="0" applyAlignment="1" applyBorder="1" applyFont="1" applyNumberFormat="1">
      <alignment horizontal="center" shrinkToFit="0" vertical="center" wrapText="1"/>
    </xf>
    <xf borderId="59" fillId="13" fontId="11" numFmtId="165" xfId="0" applyAlignment="1" applyBorder="1" applyFont="1" applyNumberFormat="1">
      <alignment horizontal="center" shrinkToFit="0" vertical="center" wrapText="1"/>
    </xf>
    <xf borderId="1" fillId="2" fontId="31" numFmtId="165" xfId="0" applyBorder="1" applyFont="1" applyNumberFormat="1"/>
    <xf borderId="165" fillId="11" fontId="30" numFmtId="0" xfId="0" applyAlignment="1" applyBorder="1" applyFont="1">
      <alignment horizontal="center" shrinkToFit="0" vertical="center" wrapText="1"/>
    </xf>
    <xf borderId="127" fillId="11" fontId="26" numFmtId="0" xfId="0" applyAlignment="1" applyBorder="1" applyFont="1">
      <alignment horizontal="center" shrinkToFit="0" vertical="center" wrapText="1"/>
    </xf>
    <xf borderId="82" fillId="11" fontId="26" numFmtId="0" xfId="0" applyAlignment="1" applyBorder="1" applyFont="1">
      <alignment horizontal="center" shrinkToFit="0" vertical="center" wrapText="1"/>
    </xf>
    <xf borderId="104" fillId="11" fontId="26" numFmtId="0" xfId="0" applyAlignment="1" applyBorder="1" applyFont="1">
      <alignment horizontal="center" shrinkToFit="0" vertical="center" wrapText="1"/>
    </xf>
    <xf borderId="148" fillId="11" fontId="30" numFmtId="0" xfId="0" applyAlignment="1" applyBorder="1" applyFont="1">
      <alignment horizontal="center" shrinkToFit="0" vertical="center" wrapText="1"/>
    </xf>
    <xf borderId="98" fillId="0" fontId="3" numFmtId="0" xfId="0" applyBorder="1" applyFont="1"/>
    <xf borderId="80" fillId="0" fontId="3" numFmtId="0" xfId="0" applyBorder="1" applyFont="1"/>
    <xf borderId="52" fillId="7" fontId="26" numFmtId="0" xfId="0" applyAlignment="1" applyBorder="1" applyFont="1">
      <alignment horizontal="center" shrinkToFit="0" vertical="center" wrapText="1"/>
    </xf>
    <xf borderId="65" fillId="21" fontId="1" numFmtId="0" xfId="0" applyAlignment="1" applyBorder="1" applyFill="1" applyFont="1">
      <alignment horizontal="center" shrinkToFit="0" vertical="center" wrapText="1"/>
    </xf>
    <xf borderId="62" fillId="0" fontId="1" numFmtId="0" xfId="0" applyAlignment="1" applyBorder="1" applyFont="1">
      <alignment horizontal="center" shrinkToFit="0" vertical="center" wrapText="1"/>
    </xf>
    <xf borderId="45" fillId="0" fontId="1" numFmtId="0" xfId="0" applyAlignment="1" applyBorder="1" applyFont="1">
      <alignment horizontal="center" shrinkToFit="0" vertical="center" wrapText="1"/>
    </xf>
    <xf borderId="61" fillId="0" fontId="1" numFmtId="2" xfId="0" applyAlignment="1" applyBorder="1" applyFont="1" applyNumberFormat="1">
      <alignment horizontal="center" shrinkToFit="0" vertical="center" wrapText="1"/>
    </xf>
    <xf borderId="64" fillId="0" fontId="1" numFmtId="2" xfId="0" applyAlignment="1" applyBorder="1" applyFont="1" applyNumberFormat="1">
      <alignment horizontal="center" shrinkToFit="0" vertical="center" wrapText="1"/>
    </xf>
    <xf borderId="62" fillId="0" fontId="1" numFmtId="2" xfId="0" applyAlignment="1" applyBorder="1" applyFont="1" applyNumberFormat="1">
      <alignment horizontal="center" shrinkToFit="0" vertical="center" wrapText="1"/>
    </xf>
    <xf borderId="61" fillId="5" fontId="1" numFmtId="165" xfId="0" applyAlignment="1" applyBorder="1" applyFont="1" applyNumberFormat="1">
      <alignment horizontal="center" shrinkToFit="0" vertical="center" wrapText="1"/>
    </xf>
    <xf borderId="64" fillId="5" fontId="1" numFmtId="2" xfId="0" applyAlignment="1" applyBorder="1" applyFont="1" applyNumberFormat="1">
      <alignment horizontal="center" shrinkToFit="0" vertical="center" wrapText="1"/>
    </xf>
    <xf borderId="53" fillId="5" fontId="1" numFmtId="165" xfId="0" applyAlignment="1" applyBorder="1" applyFont="1" applyNumberFormat="1">
      <alignment horizontal="center" shrinkToFit="0" vertical="center" wrapText="1"/>
    </xf>
    <xf borderId="150" fillId="12" fontId="1" numFmtId="0" xfId="0" applyAlignment="1" applyBorder="1" applyFont="1">
      <alignment horizontal="left" shrinkToFit="0" vertical="top" wrapText="1"/>
    </xf>
    <xf borderId="53" fillId="12" fontId="1" numFmtId="0" xfId="0" applyAlignment="1" applyBorder="1" applyFont="1">
      <alignment horizontal="left" shrinkToFit="0" vertical="top" wrapText="1"/>
    </xf>
    <xf borderId="35" fillId="0" fontId="1" numFmtId="0" xfId="0" applyAlignment="1" applyBorder="1" applyFont="1">
      <alignment horizontal="center" shrinkToFit="0" vertical="center" wrapText="1"/>
    </xf>
    <xf borderId="65" fillId="5" fontId="1" numFmtId="165" xfId="0" applyAlignment="1" applyBorder="1" applyFont="1" applyNumberFormat="1">
      <alignment horizontal="center" shrinkToFit="0" vertical="center" wrapText="1"/>
    </xf>
    <xf borderId="56" fillId="5" fontId="1" numFmtId="165" xfId="0" applyAlignment="1" applyBorder="1" applyFont="1" applyNumberFormat="1">
      <alignment horizontal="center" shrinkToFit="0" vertical="center" wrapText="1"/>
    </xf>
    <xf borderId="31" fillId="12" fontId="33" numFmtId="0" xfId="0" applyAlignment="1" applyBorder="1" applyFont="1">
      <alignment horizontal="left" shrinkToFit="0" vertical="top" wrapText="1"/>
    </xf>
    <xf borderId="97" fillId="21" fontId="1" numFmtId="0" xfId="0" applyAlignment="1" applyBorder="1" applyFont="1">
      <alignment horizontal="center" shrinkToFit="0" vertical="center" wrapText="1"/>
    </xf>
    <xf borderId="127" fillId="21" fontId="1" numFmtId="0" xfId="0" applyAlignment="1" applyBorder="1" applyFont="1">
      <alignment horizontal="center" shrinkToFit="0" vertical="center" wrapText="1"/>
    </xf>
    <xf borderId="63" fillId="21" fontId="1" numFmtId="0" xfId="0" applyAlignment="1" applyBorder="1" applyFont="1">
      <alignment horizontal="center" shrinkToFit="0" vertical="center" wrapText="1"/>
    </xf>
    <xf borderId="87" fillId="0" fontId="1" numFmtId="0" xfId="0" applyAlignment="1" applyBorder="1" applyFont="1">
      <alignment horizontal="center" shrinkToFit="0" vertical="center" wrapText="1"/>
    </xf>
    <xf borderId="77" fillId="0" fontId="1" numFmtId="2" xfId="0" applyAlignment="1" applyBorder="1" applyFont="1" applyNumberFormat="1">
      <alignment horizontal="center" shrinkToFit="0" vertical="center" wrapText="1"/>
    </xf>
    <xf borderId="67" fillId="0" fontId="1" numFmtId="2" xfId="0" applyAlignment="1" applyBorder="1" applyFont="1" applyNumberFormat="1">
      <alignment horizontal="center" shrinkToFit="0" vertical="center" wrapText="1"/>
    </xf>
    <xf borderId="138" fillId="0" fontId="1" numFmtId="2" xfId="0" applyAlignment="1" applyBorder="1" applyFont="1" applyNumberFormat="1">
      <alignment horizontal="center" shrinkToFit="0" vertical="center" wrapText="1"/>
    </xf>
    <xf borderId="63" fillId="5" fontId="1" numFmtId="165" xfId="0" applyAlignment="1" applyBorder="1" applyFont="1" applyNumberFormat="1">
      <alignment horizontal="center" shrinkToFit="0" vertical="center" wrapText="1"/>
    </xf>
    <xf borderId="67" fillId="5" fontId="1" numFmtId="2" xfId="0" applyAlignment="1" applyBorder="1" applyFont="1" applyNumberFormat="1">
      <alignment horizontal="center" shrinkToFit="0" vertical="center" wrapText="1"/>
    </xf>
    <xf borderId="59" fillId="5" fontId="1" numFmtId="165" xfId="0" applyAlignment="1" applyBorder="1" applyFont="1" applyNumberFormat="1">
      <alignment horizontal="center" shrinkToFit="0" vertical="center" wrapText="1"/>
    </xf>
    <xf borderId="166" fillId="7" fontId="30" numFmtId="0" xfId="0" applyAlignment="1" applyBorder="1" applyFont="1">
      <alignment horizontal="center" shrinkToFit="0" vertical="center" wrapText="1"/>
    </xf>
    <xf borderId="73" fillId="5" fontId="1" numFmtId="2" xfId="0" applyAlignment="1" applyBorder="1" applyFont="1" applyNumberFormat="1">
      <alignment horizontal="center" shrinkToFit="0" vertical="center" wrapText="1"/>
    </xf>
    <xf borderId="74" fillId="5" fontId="1" numFmtId="2" xfId="0" applyAlignment="1" applyBorder="1" applyFont="1" applyNumberFormat="1">
      <alignment horizontal="center" shrinkToFit="0" vertical="center" wrapText="1"/>
    </xf>
    <xf borderId="75" fillId="5" fontId="1" numFmtId="2" xfId="0" applyAlignment="1" applyBorder="1" applyFont="1" applyNumberFormat="1">
      <alignment horizontal="center" shrinkToFit="0" vertical="center" wrapText="1"/>
    </xf>
    <xf borderId="127" fillId="7" fontId="30" numFmtId="0" xfId="0" applyAlignment="1" applyBorder="1" applyFont="1">
      <alignment horizontal="center" shrinkToFit="0" vertical="center" wrapText="1"/>
    </xf>
    <xf borderId="27" fillId="0" fontId="7" numFmtId="0" xfId="0" applyAlignment="1" applyBorder="1" applyFont="1">
      <alignment horizontal="center"/>
    </xf>
    <xf borderId="159" fillId="2" fontId="7" numFmtId="0" xfId="0" applyAlignment="1" applyBorder="1" applyFont="1">
      <alignment horizontal="center"/>
    </xf>
    <xf borderId="91" fillId="11" fontId="26" numFmtId="0" xfId="0" applyAlignment="1" applyBorder="1" applyFont="1">
      <alignment horizontal="center" shrinkToFit="0" vertical="center" wrapText="1"/>
    </xf>
    <xf borderId="167" fillId="0" fontId="3" numFmtId="0" xfId="0" applyBorder="1" applyFont="1"/>
    <xf borderId="123" fillId="18" fontId="1" numFmtId="0" xfId="0" applyAlignment="1" applyBorder="1" applyFont="1">
      <alignment horizontal="center" vertical="center"/>
    </xf>
    <xf borderId="45" fillId="19" fontId="1" numFmtId="0" xfId="0" applyAlignment="1" applyBorder="1" applyFont="1">
      <alignment horizontal="center" shrinkToFit="0" vertical="center" wrapText="1"/>
    </xf>
    <xf borderId="45" fillId="5" fontId="1" numFmtId="165" xfId="0" applyAlignment="1" applyBorder="1" applyFont="1" applyNumberFormat="1">
      <alignment horizontal="center" shrinkToFit="0" vertical="center" wrapText="1"/>
    </xf>
    <xf borderId="35" fillId="19" fontId="1" numFmtId="0" xfId="0" applyAlignment="1" applyBorder="1" applyFont="1">
      <alignment horizontal="center" shrinkToFit="0" vertical="center" wrapText="1"/>
    </xf>
    <xf borderId="35" fillId="5" fontId="1" numFmtId="165" xfId="0" applyAlignment="1" applyBorder="1" applyFont="1" applyNumberFormat="1">
      <alignment horizontal="center" shrinkToFit="0" vertical="center" wrapText="1"/>
    </xf>
    <xf borderId="168" fillId="0" fontId="1" numFmtId="0" xfId="0" applyAlignment="1" applyBorder="1" applyFont="1">
      <alignment horizontal="center" shrinkToFit="0" vertical="center" wrapText="1"/>
    </xf>
    <xf borderId="169" fillId="18" fontId="1" numFmtId="0" xfId="0" applyAlignment="1" applyBorder="1" applyFont="1">
      <alignment horizontal="center" vertical="center"/>
    </xf>
    <xf borderId="37" fillId="19" fontId="1" numFmtId="0" xfId="0" applyAlignment="1" applyBorder="1" applyFont="1">
      <alignment horizontal="center" shrinkToFit="0" vertical="center" wrapText="1"/>
    </xf>
    <xf borderId="86" fillId="0" fontId="1" numFmtId="2" xfId="0" applyAlignment="1" applyBorder="1" applyFont="1" applyNumberFormat="1">
      <alignment horizontal="center" shrinkToFit="0" vertical="center" wrapText="1"/>
    </xf>
    <xf borderId="37" fillId="5" fontId="1" numFmtId="165" xfId="0" applyAlignment="1" applyBorder="1" applyFont="1" applyNumberFormat="1">
      <alignment horizontal="center" shrinkToFit="0" vertical="center" wrapText="1"/>
    </xf>
    <xf borderId="154" fillId="7" fontId="30" numFmtId="0" xfId="0" applyAlignment="1" applyBorder="1" applyFont="1">
      <alignment horizontal="center" shrinkToFit="0" vertical="center" wrapText="1"/>
    </xf>
    <xf borderId="170" fillId="5" fontId="1" numFmtId="165" xfId="0" applyAlignment="1" applyBorder="1" applyFont="1" applyNumberFormat="1">
      <alignment horizontal="center" shrinkToFit="0" vertical="center" wrapText="1"/>
    </xf>
    <xf borderId="171" fillId="0" fontId="3" numFmtId="0" xfId="0" applyBorder="1" applyFont="1"/>
    <xf borderId="13" fillId="2" fontId="28" numFmtId="0" xfId="0" applyAlignment="1" applyBorder="1" applyFont="1">
      <alignment horizontal="center" shrinkToFit="0" wrapText="1"/>
    </xf>
    <xf borderId="116" fillId="11" fontId="30" numFmtId="0" xfId="0" applyAlignment="1" applyBorder="1" applyFont="1">
      <alignment horizontal="center" shrinkToFit="0" vertical="center" wrapText="1"/>
    </xf>
    <xf borderId="99" fillId="11" fontId="30" numFmtId="0" xfId="0" applyAlignment="1" applyBorder="1" applyFont="1">
      <alignment horizontal="center" shrinkToFit="0" vertical="center" wrapText="1"/>
    </xf>
    <xf borderId="172" fillId="11" fontId="30" numFmtId="0" xfId="0" applyAlignment="1" applyBorder="1" applyFont="1">
      <alignment horizontal="center" shrinkToFit="0" vertical="center" wrapText="1"/>
    </xf>
    <xf borderId="61" fillId="11" fontId="30" numFmtId="0" xfId="0" applyAlignment="1" applyBorder="1" applyFont="1">
      <alignment horizontal="center" shrinkToFit="0" vertical="center" wrapText="1"/>
    </xf>
    <xf borderId="64" fillId="2" fontId="30" numFmtId="0" xfId="0" applyAlignment="1" applyBorder="1" applyFont="1">
      <alignment horizontal="center" shrinkToFit="0" vertical="center" wrapText="1"/>
    </xf>
    <xf borderId="53" fillId="11" fontId="30" numFmtId="0" xfId="0" applyAlignment="1" applyBorder="1" applyFont="1">
      <alignment horizontal="center" shrinkToFit="0" vertical="center" wrapText="1"/>
    </xf>
    <xf borderId="154" fillId="11" fontId="26" numFmtId="0" xfId="0" applyAlignment="1" applyBorder="1" applyFont="1">
      <alignment horizontal="center" shrinkToFit="0" vertical="center" wrapText="1"/>
    </xf>
    <xf borderId="44" fillId="11" fontId="26" numFmtId="0" xfId="0" applyAlignment="1" applyBorder="1" applyFont="1">
      <alignment horizontal="center" shrinkToFit="0" vertical="center" wrapText="1"/>
    </xf>
    <xf borderId="61" fillId="13" fontId="1" numFmtId="0" xfId="0" applyAlignment="1" applyBorder="1" applyFont="1">
      <alignment horizontal="center" shrinkToFit="0" vertical="center" wrapText="1"/>
    </xf>
    <xf borderId="53" fillId="13" fontId="1" numFmtId="0" xfId="0" applyAlignment="1" applyBorder="1" applyFont="1">
      <alignment horizontal="center" shrinkToFit="0" vertical="center" wrapText="1"/>
    </xf>
    <xf borderId="61" fillId="18" fontId="1" numFmtId="0" xfId="0" applyAlignment="1" applyBorder="1" applyFont="1">
      <alignment horizontal="center" shrinkToFit="0" vertical="center" wrapText="1"/>
    </xf>
    <xf borderId="47" fillId="13" fontId="1" numFmtId="0" xfId="0" applyAlignment="1" applyBorder="1" applyFont="1">
      <alignment horizontal="center" shrinkToFit="0" vertical="center" wrapText="1"/>
    </xf>
    <xf borderId="47" fillId="13" fontId="1" numFmtId="2" xfId="0" applyAlignment="1" applyBorder="1" applyFont="1" applyNumberFormat="1">
      <alignment horizontal="center" vertical="center"/>
    </xf>
    <xf borderId="45" fillId="13" fontId="1" numFmtId="0" xfId="0" applyAlignment="1" applyBorder="1" applyFont="1">
      <alignment horizontal="center" vertical="center"/>
    </xf>
    <xf borderId="62" fillId="5" fontId="1" numFmtId="165" xfId="0" applyAlignment="1" applyBorder="1" applyFont="1" applyNumberFormat="1">
      <alignment horizontal="center" shrinkToFit="0" vertical="center" wrapText="1"/>
    </xf>
    <xf borderId="70" fillId="0" fontId="1" numFmtId="0" xfId="0" applyAlignment="1" applyBorder="1" applyFont="1">
      <alignment horizontal="center" shrinkToFit="0" vertical="center" wrapText="1"/>
    </xf>
    <xf borderId="53" fillId="0" fontId="1" numFmtId="0" xfId="0" applyAlignment="1" applyBorder="1" applyFont="1">
      <alignment horizontal="center" shrinkToFit="0" vertical="center" wrapText="1"/>
    </xf>
    <xf borderId="99" fillId="17" fontId="1" numFmtId="0" xfId="0" applyAlignment="1" applyBorder="1" applyFont="1">
      <alignment horizontal="center" shrinkToFit="0" vertical="center" wrapText="1"/>
    </xf>
    <xf borderId="173" fillId="17" fontId="1" numFmtId="0" xfId="0" applyAlignment="1" applyBorder="1" applyFont="1">
      <alignment horizontal="center" shrinkToFit="0" vertical="center" wrapText="1"/>
    </xf>
    <xf borderId="96" fillId="17" fontId="1" numFmtId="0" xfId="0" applyAlignment="1" applyBorder="1" applyFont="1">
      <alignment horizontal="center" shrinkToFit="0" vertical="center" wrapText="1"/>
    </xf>
    <xf borderId="100" fillId="17" fontId="1" numFmtId="0" xfId="0" applyAlignment="1" applyBorder="1" applyFont="1">
      <alignment horizontal="center" shrinkToFit="0" vertical="center" wrapText="1"/>
    </xf>
    <xf borderId="173" fillId="17" fontId="1" numFmtId="166" xfId="0" applyAlignment="1" applyBorder="1" applyFont="1" applyNumberFormat="1">
      <alignment horizontal="center" shrinkToFit="0" vertical="center" wrapText="1"/>
    </xf>
    <xf borderId="1" fillId="2" fontId="1" numFmtId="0" xfId="0" applyAlignment="1" applyBorder="1" applyFont="1">
      <alignment horizontal="left"/>
    </xf>
    <xf borderId="147" fillId="13" fontId="1" numFmtId="2" xfId="0" applyAlignment="1" applyBorder="1" applyFont="1" applyNumberFormat="1">
      <alignment horizontal="center" vertical="center"/>
    </xf>
    <xf borderId="174" fillId="13" fontId="1" numFmtId="0" xfId="0" applyAlignment="1" applyBorder="1" applyFont="1">
      <alignment horizontal="center" vertical="center"/>
    </xf>
    <xf borderId="135" fillId="13" fontId="1" numFmtId="2" xfId="0" applyAlignment="1" applyBorder="1" applyFont="1" applyNumberFormat="1">
      <alignment horizontal="center" vertical="center"/>
    </xf>
    <xf borderId="170" fillId="13" fontId="1" numFmtId="0" xfId="0" applyAlignment="1" applyBorder="1" applyFont="1">
      <alignment horizontal="center" vertical="center"/>
    </xf>
    <xf borderId="135" fillId="5" fontId="1" numFmtId="2" xfId="0" applyAlignment="1" applyBorder="1" applyFont="1" applyNumberFormat="1">
      <alignment horizontal="center" shrinkToFit="0" vertical="center" wrapText="1"/>
    </xf>
    <xf borderId="1" fillId="2" fontId="1" numFmtId="0" xfId="0" applyAlignment="1" applyBorder="1" applyFont="1">
      <alignment shrinkToFit="0" vertical="center" wrapText="1"/>
    </xf>
    <xf borderId="137" fillId="5" fontId="1" numFmtId="165" xfId="0" applyAlignment="1" applyBorder="1" applyFont="1" applyNumberFormat="1">
      <alignment horizontal="center" shrinkToFit="0" vertical="center" wrapText="1"/>
    </xf>
    <xf borderId="42" fillId="11" fontId="13" numFmtId="0" xfId="0" applyAlignment="1" applyBorder="1" applyFont="1">
      <alignment horizontal="center" shrinkToFit="0" vertical="center" wrapText="1"/>
    </xf>
    <xf borderId="108" fillId="0" fontId="8" numFmtId="0" xfId="0" applyAlignment="1" applyBorder="1" applyFont="1">
      <alignment horizontal="center" vertical="center"/>
    </xf>
    <xf borderId="73" fillId="6" fontId="13" numFmtId="0" xfId="0" applyAlignment="1" applyBorder="1" applyFont="1">
      <alignment horizontal="center" shrinkToFit="0" vertical="center" wrapText="1"/>
    </xf>
    <xf borderId="74" fillId="6" fontId="13" numFmtId="0" xfId="0" applyAlignment="1" applyBorder="1" applyFont="1">
      <alignment horizontal="center" shrinkToFit="0" vertical="center" wrapText="1"/>
    </xf>
    <xf borderId="75" fillId="6" fontId="13" numFmtId="0" xfId="0" applyAlignment="1" applyBorder="1" applyFont="1">
      <alignment horizontal="center" shrinkToFit="0" vertical="center" wrapText="1"/>
    </xf>
    <xf borderId="51" fillId="7" fontId="13" numFmtId="0" xfId="0" applyAlignment="1" applyBorder="1" applyFont="1">
      <alignment horizontal="center" shrinkToFit="0" vertical="center" wrapText="1"/>
    </xf>
    <xf borderId="76" fillId="7" fontId="13" numFmtId="0" xfId="0" applyAlignment="1" applyBorder="1" applyFont="1">
      <alignment horizontal="center" vertical="center"/>
    </xf>
    <xf borderId="64" fillId="22" fontId="10" numFmtId="0" xfId="0" applyAlignment="1" applyBorder="1" applyFill="1" applyFont="1">
      <alignment horizontal="center" shrinkToFit="0" vertical="center" wrapText="1"/>
    </xf>
    <xf borderId="64" fillId="22" fontId="10" numFmtId="165" xfId="0" applyAlignment="1" applyBorder="1" applyFont="1" applyNumberFormat="1">
      <alignment horizontal="center" vertical="center"/>
    </xf>
    <xf borderId="165" fillId="2" fontId="11" numFmtId="0" xfId="0" applyAlignment="1" applyBorder="1" applyFont="1">
      <alignment horizontal="center" vertical="center"/>
    </xf>
    <xf borderId="175" fillId="0" fontId="3" numFmtId="0" xfId="0" applyBorder="1" applyFont="1"/>
    <xf borderId="66" fillId="22" fontId="10" numFmtId="0" xfId="0" applyAlignment="1" applyBorder="1" applyFont="1">
      <alignment horizontal="center" shrinkToFit="0" vertical="center" wrapText="1"/>
    </xf>
    <xf borderId="66" fillId="22" fontId="10" numFmtId="165" xfId="0" applyAlignment="1" applyBorder="1" applyFont="1" applyNumberFormat="1">
      <alignment horizontal="center" vertical="center"/>
    </xf>
    <xf borderId="176" fillId="0" fontId="3" numFmtId="0" xfId="0" applyBorder="1" applyFont="1"/>
    <xf borderId="67" fillId="4" fontId="11" numFmtId="0" xfId="0" applyAlignment="1" applyBorder="1" applyFont="1">
      <alignment horizontal="center" vertical="center"/>
    </xf>
    <xf borderId="67" fillId="4" fontId="11" numFmtId="165" xfId="0" applyAlignment="1" applyBorder="1" applyFont="1" applyNumberFormat="1">
      <alignment horizontal="center" vertical="center"/>
    </xf>
    <xf borderId="168" fillId="0" fontId="3" numFmtId="0" xfId="0" applyBorder="1" applyFont="1"/>
    <xf borderId="68" fillId="7" fontId="13" numFmtId="0" xfId="0" applyAlignment="1" applyBorder="1" applyFont="1">
      <alignment horizontal="center" vertical="center"/>
    </xf>
    <xf borderId="69" fillId="22" fontId="10" numFmtId="0" xfId="0" applyAlignment="1" applyBorder="1" applyFont="1">
      <alignment horizontal="center" shrinkToFit="0" vertical="center" wrapText="1"/>
    </xf>
    <xf borderId="69" fillId="22" fontId="10" numFmtId="165" xfId="0" applyAlignment="1" applyBorder="1" applyFont="1" applyNumberFormat="1">
      <alignment horizontal="center" vertical="center"/>
    </xf>
    <xf borderId="44" fillId="2" fontId="11" numFmtId="0" xfId="0" applyAlignment="1" applyBorder="1" applyFont="1">
      <alignment horizontal="center" vertical="center"/>
    </xf>
    <xf borderId="1" fillId="2" fontId="4" numFmtId="165" xfId="0" applyBorder="1" applyFont="1" applyNumberFormat="1"/>
    <xf borderId="45" fillId="7" fontId="13" numFmtId="0" xfId="0" applyAlignment="1" applyBorder="1" applyFont="1">
      <alignment horizontal="center" vertical="center"/>
    </xf>
    <xf borderId="53" fillId="4" fontId="11" numFmtId="165" xfId="0" applyAlignment="1" applyBorder="1" applyFont="1" applyNumberFormat="1">
      <alignment horizontal="center" vertical="center"/>
    </xf>
    <xf borderId="1" fillId="2" fontId="31" numFmtId="0" xfId="0" applyBorder="1" applyFont="1"/>
    <xf borderId="35" fillId="7" fontId="13" numFmtId="0" xfId="0" applyAlignment="1" applyBorder="1" applyFont="1">
      <alignment horizontal="center" vertical="center"/>
    </xf>
    <xf borderId="56" fillId="4" fontId="11" numFmtId="165" xfId="0" applyAlignment="1" applyBorder="1" applyFont="1" applyNumberFormat="1">
      <alignment horizontal="center" vertical="center"/>
    </xf>
    <xf borderId="37" fillId="7" fontId="13" numFmtId="0" xfId="0" applyAlignment="1" applyBorder="1" applyFont="1">
      <alignment horizontal="center" vertical="center"/>
    </xf>
    <xf borderId="59" fillId="4" fontId="11" numFmtId="165" xfId="0" applyAlignment="1" applyBorder="1" applyFont="1" applyNumberFormat="1">
      <alignment horizontal="center" vertical="center"/>
    </xf>
    <xf borderId="1" fillId="2" fontId="34" numFmtId="0" xfId="0" applyBorder="1" applyFont="1"/>
    <xf borderId="42" fillId="11" fontId="30" numFmtId="0" xfId="0" applyAlignment="1" applyBorder="1" applyFont="1">
      <alignment horizontal="center" shrinkToFit="0" vertical="center" wrapText="1"/>
    </xf>
    <xf borderId="177" fillId="11" fontId="30" numFmtId="0" xfId="0" applyAlignment="1" applyBorder="1" applyFont="1">
      <alignment horizontal="center" shrinkToFit="0" vertical="center" wrapText="1"/>
    </xf>
    <xf borderId="83" fillId="6" fontId="30" numFmtId="0" xfId="0" applyAlignment="1" applyBorder="1" applyFont="1">
      <alignment horizontal="center" shrinkToFit="0" vertical="center" wrapText="1"/>
    </xf>
    <xf borderId="178" fillId="11" fontId="26" numFmtId="0" xfId="0" applyAlignment="1" applyBorder="1" applyFont="1">
      <alignment horizontal="center" shrinkToFit="0" vertical="center" wrapText="1"/>
    </xf>
    <xf borderId="179" fillId="0" fontId="3" numFmtId="0" xfId="0" applyBorder="1" applyFont="1"/>
    <xf borderId="97" fillId="11" fontId="30" numFmtId="0" xfId="0" applyAlignment="1" applyBorder="1" applyFont="1">
      <alignment horizontal="center" shrinkToFit="0" vertical="center" wrapText="1"/>
    </xf>
    <xf borderId="101" fillId="11" fontId="30" numFmtId="0" xfId="0" applyAlignment="1" applyBorder="1" applyFont="1">
      <alignment horizontal="center" shrinkToFit="0" vertical="center" wrapText="1"/>
    </xf>
    <xf borderId="31" fillId="2" fontId="30" numFmtId="0" xfId="0" applyAlignment="1" applyBorder="1" applyFont="1">
      <alignment horizontal="center" shrinkToFit="0" vertical="center" wrapText="1"/>
    </xf>
    <xf borderId="66" fillId="2" fontId="30" numFmtId="0" xfId="0" applyAlignment="1" applyBorder="1" applyFont="1">
      <alignment horizontal="center" shrinkToFit="0" vertical="center" wrapText="1"/>
    </xf>
    <xf borderId="180" fillId="0" fontId="3" numFmtId="0" xfId="0" applyBorder="1" applyFont="1"/>
    <xf borderId="79" fillId="0" fontId="3" numFmtId="0" xfId="0" applyBorder="1" applyFont="1"/>
    <xf borderId="61" fillId="23" fontId="1" numFmtId="0" xfId="0" applyAlignment="1" applyBorder="1" applyFill="1" applyFont="1">
      <alignment horizontal="center" shrinkToFit="0" vertical="center" wrapText="1"/>
    </xf>
    <xf borderId="70" fillId="0" fontId="1" numFmtId="2" xfId="0" applyAlignment="1" applyBorder="1" applyFont="1" applyNumberFormat="1">
      <alignment horizontal="center" shrinkToFit="0" vertical="center" wrapText="1"/>
    </xf>
    <xf borderId="99" fillId="5" fontId="1" numFmtId="165" xfId="0" applyAlignment="1" applyBorder="1" applyFont="1" applyNumberFormat="1">
      <alignment horizontal="center" shrinkToFit="0" vertical="center" wrapText="1"/>
    </xf>
    <xf borderId="66" fillId="2" fontId="1" numFmtId="2" xfId="0" applyAlignment="1" applyBorder="1" applyFont="1" applyNumberFormat="1">
      <alignment horizontal="center" shrinkToFit="0" vertical="center" wrapText="1"/>
    </xf>
    <xf borderId="56" fillId="17" fontId="1" numFmtId="165" xfId="0" applyAlignment="1" applyBorder="1" applyFont="1" applyNumberFormat="1">
      <alignment horizontal="center" shrinkToFit="0" vertical="center" wrapText="1"/>
    </xf>
    <xf borderId="66" fillId="17" fontId="1" numFmtId="0" xfId="0" applyAlignment="1" applyBorder="1" applyFont="1">
      <alignment horizontal="center" vertical="center"/>
    </xf>
    <xf borderId="97" fillId="23" fontId="1" numFmtId="0" xfId="0" applyAlignment="1" applyBorder="1" applyFont="1">
      <alignment horizontal="center" shrinkToFit="0" vertical="center" wrapText="1"/>
    </xf>
    <xf borderId="21" fillId="0" fontId="1" numFmtId="2" xfId="0" applyAlignment="1" applyBorder="1" applyFont="1" applyNumberFormat="1">
      <alignment horizontal="center" shrinkToFit="0" vertical="center" wrapText="1"/>
    </xf>
    <xf borderId="66" fillId="5" fontId="1" numFmtId="165" xfId="0" applyAlignment="1" applyBorder="1" applyFont="1" applyNumberFormat="1">
      <alignment horizontal="center" shrinkToFit="0" vertical="center" wrapText="1"/>
    </xf>
    <xf borderId="139" fillId="23" fontId="1" numFmtId="0" xfId="0" applyAlignment="1" applyBorder="1" applyFont="1">
      <alignment horizontal="center" shrinkToFit="0" vertical="center" wrapText="1"/>
    </xf>
    <xf borderId="157" fillId="0" fontId="1" numFmtId="2" xfId="0" applyAlignment="1" applyBorder="1" applyFont="1" applyNumberFormat="1">
      <alignment horizontal="center" shrinkToFit="0" vertical="center" wrapText="1"/>
    </xf>
    <xf borderId="67" fillId="5" fontId="1" numFmtId="165" xfId="0" applyAlignment="1" applyBorder="1" applyFont="1" applyNumberFormat="1">
      <alignment horizontal="center" shrinkToFit="0" vertical="center" wrapText="1"/>
    </xf>
    <xf borderId="110" fillId="7" fontId="30" numFmtId="0" xfId="0" applyAlignment="1" applyBorder="1" applyFont="1">
      <alignment horizontal="center" shrinkToFit="0" vertical="center" wrapText="1"/>
    </xf>
    <xf borderId="181" fillId="5" fontId="1" numFmtId="2" xfId="0" applyAlignment="1" applyBorder="1" applyFont="1" applyNumberFormat="1">
      <alignment horizontal="center" shrinkToFit="0" vertical="center" wrapText="1"/>
    </xf>
    <xf borderId="101" fillId="5" fontId="1" numFmtId="165" xfId="0" applyAlignment="1" applyBorder="1" applyFont="1" applyNumberFormat="1">
      <alignment horizontal="center" shrinkToFit="0" vertical="center" wrapText="1"/>
    </xf>
    <xf borderId="39" fillId="2" fontId="7" numFmtId="0" xfId="0" applyAlignment="1" applyBorder="1" applyFont="1">
      <alignment horizontal="center"/>
    </xf>
    <xf borderId="182" fillId="11" fontId="30" numFmtId="0" xfId="0" applyAlignment="1" applyBorder="1" applyFont="1">
      <alignment horizontal="center" shrinkToFit="0" vertical="center" wrapText="1"/>
    </xf>
    <xf borderId="183" fillId="0" fontId="3" numFmtId="0" xfId="0" applyBorder="1" applyFont="1"/>
    <xf borderId="51" fillId="6" fontId="26" numFmtId="0" xfId="0" applyAlignment="1" applyBorder="1" applyFont="1">
      <alignment horizontal="center" vertical="center"/>
    </xf>
    <xf borderId="184" fillId="0" fontId="3" numFmtId="0" xfId="0" applyBorder="1" applyFont="1"/>
    <xf borderId="75" fillId="11" fontId="30" numFmtId="0" xfId="0" applyAlignment="1" applyBorder="1" applyFont="1">
      <alignment horizontal="center" shrinkToFit="0" vertical="center" wrapText="1"/>
    </xf>
    <xf borderId="68" fillId="11" fontId="30" numFmtId="0" xfId="0" applyAlignment="1" applyBorder="1" applyFont="1">
      <alignment horizontal="center" shrinkToFit="0" vertical="center" wrapText="1"/>
    </xf>
    <xf borderId="44" fillId="11" fontId="30" numFmtId="0" xfId="0" applyAlignment="1" applyBorder="1" applyFont="1">
      <alignment horizontal="center" shrinkToFit="0" vertical="center" wrapText="1"/>
    </xf>
    <xf borderId="148" fillId="2" fontId="30" numFmtId="0" xfId="0" applyAlignment="1" applyBorder="1" applyFont="1">
      <alignment horizontal="center" shrinkToFit="0" vertical="center" wrapText="1"/>
    </xf>
    <xf borderId="69" fillId="11" fontId="30" numFmtId="0" xfId="0" applyAlignment="1" applyBorder="1" applyFont="1">
      <alignment horizontal="center" shrinkToFit="0" vertical="center" wrapText="1"/>
    </xf>
    <xf borderId="185" fillId="18" fontId="1" numFmtId="0" xfId="0" applyAlignment="1" applyBorder="1" applyFont="1">
      <alignment horizontal="center" vertical="center"/>
    </xf>
    <xf borderId="90" fillId="0" fontId="1" numFmtId="0" xfId="0" applyAlignment="1" applyBorder="1" applyFont="1">
      <alignment horizontal="center" shrinkToFit="0" vertical="center" wrapText="1"/>
    </xf>
    <xf borderId="45" fillId="0" fontId="1" numFmtId="2" xfId="0" applyAlignment="1" applyBorder="1" applyFont="1" applyNumberFormat="1">
      <alignment horizontal="center" shrinkToFit="0" vertical="center" wrapText="1"/>
    </xf>
    <xf borderId="45" fillId="17" fontId="1" numFmtId="0" xfId="0" applyAlignment="1" applyBorder="1" applyFont="1">
      <alignment horizontal="center" shrinkToFit="0" vertical="center" wrapText="1"/>
    </xf>
    <xf borderId="47" fillId="17" fontId="1" numFmtId="0" xfId="0" applyAlignment="1" applyBorder="1" applyFont="1">
      <alignment horizontal="center" vertical="center"/>
    </xf>
    <xf borderId="48" fillId="17" fontId="1" numFmtId="0" xfId="0" applyAlignment="1" applyBorder="1" applyFont="1">
      <alignment horizontal="center" vertical="center"/>
    </xf>
    <xf borderId="37" fillId="19" fontId="1" numFmtId="0" xfId="0" applyAlignment="1" applyBorder="1" applyFont="1">
      <alignment horizontal="center" vertical="center"/>
    </xf>
    <xf borderId="40" fillId="0" fontId="1" numFmtId="0" xfId="0" applyAlignment="1" applyBorder="1" applyFont="1">
      <alignment horizontal="center" shrinkToFit="0" vertical="center" wrapText="1"/>
    </xf>
    <xf borderId="87" fillId="0" fontId="1" numFmtId="2" xfId="0" applyAlignment="1" applyBorder="1" applyFont="1" applyNumberFormat="1">
      <alignment horizontal="center" shrinkToFit="0" vertical="center" wrapText="1"/>
    </xf>
    <xf borderId="50" fillId="17" fontId="1" numFmtId="0" xfId="0" applyAlignment="1" applyBorder="1" applyFont="1">
      <alignment horizontal="center" vertical="center"/>
    </xf>
    <xf borderId="83" fillId="11" fontId="35" numFmtId="0" xfId="0" applyAlignment="1" applyBorder="1" applyFont="1">
      <alignment horizontal="center" shrinkToFit="0" vertical="center" wrapText="1"/>
    </xf>
    <xf borderId="117" fillId="11" fontId="30" numFmtId="0" xfId="0" applyAlignment="1" applyBorder="1" applyFont="1">
      <alignment horizontal="center" shrinkToFit="0" vertical="center" wrapText="1"/>
    </xf>
    <xf borderId="150" fillId="17" fontId="1" numFmtId="0" xfId="0" applyAlignment="1" applyBorder="1" applyFont="1">
      <alignment horizontal="center" vertical="center"/>
    </xf>
    <xf borderId="186" fillId="0" fontId="3" numFmtId="0" xfId="0" applyBorder="1" applyFont="1"/>
    <xf borderId="187" fillId="11" fontId="30" numFmtId="0" xfId="0" applyAlignment="1" applyBorder="1" applyFont="1">
      <alignment horizontal="center" vertical="center"/>
    </xf>
    <xf borderId="188" fillId="0" fontId="3" numFmtId="0" xfId="0" applyBorder="1" applyFont="1"/>
    <xf borderId="103" fillId="11" fontId="26" numFmtId="0" xfId="0" applyAlignment="1" applyBorder="1" applyFont="1">
      <alignment horizontal="center" shrinkToFit="0" vertical="center" wrapText="1"/>
    </xf>
    <xf borderId="130" fillId="11" fontId="30" numFmtId="0" xfId="0" applyAlignment="1" applyBorder="1" applyFont="1">
      <alignment horizontal="center" shrinkToFit="0" vertical="center" wrapText="1"/>
    </xf>
    <xf borderId="156" fillId="11" fontId="30" numFmtId="0" xfId="0" applyAlignment="1" applyBorder="1" applyFont="1">
      <alignment horizontal="center" shrinkToFit="0" vertical="center" wrapText="1"/>
    </xf>
    <xf borderId="99" fillId="11" fontId="36" numFmtId="0" xfId="0" applyAlignment="1" applyBorder="1" applyFont="1">
      <alignment horizontal="center" shrinkToFit="0" vertical="center" wrapText="1"/>
    </xf>
    <xf borderId="99" fillId="2" fontId="36" numFmtId="0" xfId="0" applyAlignment="1" applyBorder="1" applyFont="1">
      <alignment horizontal="center" shrinkToFit="0" vertical="center" wrapText="1"/>
    </xf>
    <xf borderId="109" fillId="11" fontId="26" numFmtId="0" xfId="0" applyAlignment="1" applyBorder="1" applyFont="1">
      <alignment horizontal="center" shrinkToFit="0" vertical="center" wrapText="1"/>
    </xf>
    <xf borderId="166" fillId="6" fontId="37" numFmtId="0" xfId="0" applyAlignment="1" applyBorder="1" applyFont="1">
      <alignment horizontal="center" shrinkToFit="0" vertical="center" wrapText="1"/>
    </xf>
    <xf borderId="52" fillId="13" fontId="1" numFmtId="2" xfId="0" applyAlignment="1" applyBorder="1" applyFont="1" applyNumberFormat="1">
      <alignment horizontal="center" vertical="center"/>
    </xf>
    <xf borderId="62" fillId="13" fontId="1" numFmtId="0" xfId="0" applyAlignment="1" applyBorder="1" applyFont="1">
      <alignment horizontal="center" vertical="center"/>
    </xf>
    <xf borderId="181" fillId="17" fontId="1" numFmtId="0" xfId="0" applyAlignment="1" applyBorder="1" applyFont="1">
      <alignment horizontal="center" shrinkToFit="0" vertical="center" wrapText="1"/>
    </xf>
    <xf borderId="1" fillId="2" fontId="32" numFmtId="0" xfId="0" applyAlignment="1" applyBorder="1" applyFont="1">
      <alignment horizontal="left"/>
    </xf>
    <xf borderId="96" fillId="13" fontId="1" numFmtId="2" xfId="0" applyAlignment="1" applyBorder="1" applyFont="1" applyNumberFormat="1">
      <alignment horizontal="center" vertical="center"/>
    </xf>
    <xf borderId="32" fillId="13" fontId="1" numFmtId="0" xfId="0" applyAlignment="1" applyBorder="1" applyFont="1">
      <alignment horizontal="center" vertical="center"/>
    </xf>
    <xf borderId="189" fillId="0" fontId="3" numFmtId="0" xfId="0" applyBorder="1" applyFont="1"/>
    <xf borderId="32" fillId="5" fontId="1" numFmtId="165" xfId="0" applyAlignment="1" applyBorder="1" applyFont="1" applyNumberFormat="1">
      <alignment horizontal="center" shrinkToFit="0" vertical="center" wrapText="1"/>
    </xf>
    <xf borderId="137" fillId="13" fontId="1" numFmtId="2" xfId="0" applyAlignment="1" applyBorder="1" applyFont="1" applyNumberFormat="1">
      <alignment horizontal="center" vertical="center"/>
    </xf>
    <xf borderId="39" fillId="13" fontId="1" numFmtId="0" xfId="0" applyAlignment="1" applyBorder="1" applyFont="1">
      <alignment horizontal="center" vertical="center"/>
    </xf>
    <xf borderId="39" fillId="5" fontId="1" numFmtId="165" xfId="0" applyAlignment="1" applyBorder="1" applyFont="1" applyNumberFormat="1">
      <alignment horizontal="center" shrinkToFit="0" vertical="center" wrapText="1"/>
    </xf>
    <xf borderId="73" fillId="6" fontId="13" numFmtId="0" xfId="0" applyAlignment="1" applyBorder="1" applyFont="1">
      <alignment horizontal="center" vertical="center"/>
    </xf>
    <xf borderId="74" fillId="6" fontId="13" numFmtId="0" xfId="0" applyAlignment="1" applyBorder="1" applyFont="1">
      <alignment horizontal="center" vertical="center"/>
    </xf>
    <xf borderId="51" fillId="7" fontId="13" numFmtId="0" xfId="0" applyAlignment="1" applyBorder="1" applyFont="1">
      <alignment horizontal="center" vertical="center"/>
    </xf>
    <xf borderId="64" fillId="13" fontId="10" numFmtId="0" xfId="0" applyAlignment="1" applyBorder="1" applyFont="1">
      <alignment horizontal="center" vertical="center"/>
    </xf>
    <xf borderId="64" fillId="13" fontId="10" numFmtId="165" xfId="0" applyAlignment="1" applyBorder="1" applyFont="1" applyNumberFormat="1">
      <alignment horizontal="center" vertical="center"/>
    </xf>
    <xf borderId="66" fillId="13" fontId="10" numFmtId="165" xfId="0" applyAlignment="1" applyBorder="1" applyFont="1" applyNumberFormat="1">
      <alignment horizontal="center" vertical="center"/>
    </xf>
    <xf borderId="69" fillId="13" fontId="10" numFmtId="0" xfId="0" applyAlignment="1" applyBorder="1" applyFont="1">
      <alignment horizontal="center" vertical="center"/>
    </xf>
    <xf borderId="69" fillId="13" fontId="10" numFmtId="165" xfId="0" applyAlignment="1" applyBorder="1" applyFont="1" applyNumberFormat="1">
      <alignment horizontal="center" vertical="center"/>
    </xf>
    <xf borderId="0" fillId="0" fontId="4" numFmtId="0" xfId="0" applyFont="1"/>
    <xf borderId="1" fillId="2" fontId="38" numFmtId="0" xfId="0" applyBorder="1" applyFont="1"/>
    <xf borderId="1" fillId="2" fontId="10" numFmtId="0" xfId="0" applyBorder="1" applyFont="1"/>
    <xf borderId="1" fillId="2" fontId="38" numFmtId="0" xfId="0" applyAlignment="1" applyBorder="1" applyFont="1">
      <alignment shrinkToFit="0" vertical="center" wrapText="1"/>
    </xf>
    <xf borderId="10" fillId="2" fontId="28" numFmtId="0" xfId="0" applyAlignment="1" applyBorder="1" applyFont="1">
      <alignment horizontal="center"/>
    </xf>
    <xf borderId="42" fillId="0" fontId="8" numFmtId="0" xfId="0" applyAlignment="1" applyBorder="1" applyFont="1">
      <alignment horizontal="center" vertical="center"/>
    </xf>
    <xf borderId="1" fillId="2" fontId="8" numFmtId="0" xfId="0" applyBorder="1" applyFont="1"/>
    <xf borderId="106" fillId="24" fontId="8" numFmtId="0" xfId="0" applyAlignment="1" applyBorder="1" applyFill="1" applyFont="1">
      <alignment horizontal="center" vertical="center"/>
    </xf>
    <xf borderId="1" fillId="2" fontId="10" numFmtId="0" xfId="0" applyAlignment="1" applyBorder="1" applyFont="1">
      <alignment shrinkToFit="0" vertical="center" wrapText="1"/>
    </xf>
    <xf borderId="69" fillId="24" fontId="6" numFmtId="0" xfId="0" applyAlignment="1" applyBorder="1" applyFont="1">
      <alignment vertical="center"/>
    </xf>
    <xf borderId="109" fillId="24" fontId="6" numFmtId="0" xfId="0" applyAlignment="1" applyBorder="1" applyFont="1">
      <alignment vertical="center"/>
    </xf>
    <xf borderId="44" fillId="24" fontId="6" numFmtId="0" xfId="0" applyAlignment="1" applyBorder="1" applyFont="1">
      <alignment vertical="center"/>
    </xf>
    <xf borderId="42" fillId="12" fontId="8" numFmtId="0" xfId="0" applyAlignment="1" applyBorder="1" applyFont="1">
      <alignment horizontal="center" vertical="center"/>
    </xf>
    <xf borderId="1" fillId="2" fontId="1" numFmtId="0" xfId="0" applyAlignment="1" applyBorder="1" applyFont="1">
      <alignment vertical="center"/>
    </xf>
    <xf borderId="1" fillId="2" fontId="9" numFmtId="0" xfId="0" applyAlignment="1" applyBorder="1" applyFont="1">
      <alignment vertical="center"/>
    </xf>
    <xf borderId="190" fillId="2" fontId="7" numFmtId="0" xfId="0" applyAlignment="1" applyBorder="1" applyFont="1">
      <alignment horizontal="center" shrinkToFit="0" vertical="center" wrapText="1"/>
    </xf>
    <xf borderId="191" fillId="0" fontId="3" numFmtId="0" xfId="0" applyBorder="1" applyFont="1"/>
    <xf borderId="76" fillId="11" fontId="16" numFmtId="0" xfId="0" applyAlignment="1" applyBorder="1" applyFont="1">
      <alignment horizontal="center" shrinkToFit="0" vertical="center" wrapText="1"/>
    </xf>
    <xf borderId="64" fillId="7" fontId="17" numFmtId="0" xfId="0" applyAlignment="1" applyBorder="1" applyFont="1">
      <alignment horizontal="center" shrinkToFit="0" vertical="center" wrapText="1"/>
    </xf>
    <xf borderId="52" fillId="15" fontId="8" numFmtId="165" xfId="0" applyAlignment="1" applyBorder="1" applyFont="1" applyNumberFormat="1">
      <alignment horizontal="center" vertical="center"/>
    </xf>
    <xf borderId="185" fillId="15" fontId="8" numFmtId="165" xfId="0" applyAlignment="1" applyBorder="1" applyFont="1" applyNumberFormat="1">
      <alignment vertical="center"/>
    </xf>
    <xf borderId="90" fillId="0" fontId="8" numFmtId="165" xfId="0" applyAlignment="1" applyBorder="1" applyFont="1" applyNumberFormat="1">
      <alignment vertical="center"/>
    </xf>
    <xf borderId="66" fillId="7" fontId="17" numFmtId="0" xfId="0" applyAlignment="1" applyBorder="1" applyFont="1">
      <alignment horizontal="center" shrinkToFit="0" vertical="center" wrapText="1"/>
    </xf>
    <xf borderId="30" fillId="15" fontId="8" numFmtId="165" xfId="0" applyAlignment="1" applyBorder="1" applyFont="1" applyNumberFormat="1">
      <alignment horizontal="center" vertical="center"/>
    </xf>
    <xf borderId="102" fillId="15" fontId="8" numFmtId="165" xfId="0" applyAlignment="1" applyBorder="1" applyFont="1" applyNumberFormat="1">
      <alignment vertical="center"/>
    </xf>
    <xf borderId="33" fillId="0" fontId="8" numFmtId="165" xfId="0" applyAlignment="1" applyBorder="1" applyFont="1" applyNumberFormat="1">
      <alignment vertical="center"/>
    </xf>
    <xf borderId="67" fillId="7" fontId="17" numFmtId="0" xfId="0" applyAlignment="1" applyBorder="1" applyFont="1">
      <alignment horizontal="center" shrinkToFit="0" vertical="center" wrapText="1"/>
    </xf>
    <xf borderId="137" fillId="15" fontId="8" numFmtId="165" xfId="0" applyAlignment="1" applyBorder="1" applyFont="1" applyNumberFormat="1">
      <alignment horizontal="center" vertical="center"/>
    </xf>
    <xf borderId="169" fillId="15" fontId="8" numFmtId="165" xfId="0" applyAlignment="1" applyBorder="1" applyFont="1" applyNumberFormat="1">
      <alignment vertical="center"/>
    </xf>
    <xf borderId="40" fillId="0" fontId="8" numFmtId="165" xfId="0" applyAlignment="1" applyBorder="1" applyFont="1" applyNumberFormat="1">
      <alignment vertical="center"/>
    </xf>
    <xf borderId="1" fillId="2" fontId="38" numFmtId="165" xfId="0" applyAlignment="1" applyBorder="1" applyFont="1" applyNumberFormat="1">
      <alignment shrinkToFit="0" vertical="center" wrapText="1"/>
    </xf>
    <xf borderId="149" fillId="7" fontId="17" numFmtId="0" xfId="0" applyAlignment="1" applyBorder="1" applyFont="1">
      <alignment horizontal="center" shrinkToFit="0" vertical="center" wrapText="1"/>
    </xf>
    <xf borderId="52" fillId="5" fontId="8" numFmtId="165" xfId="0" applyAlignment="1" applyBorder="1" applyFont="1" applyNumberFormat="1">
      <alignment horizontal="center" shrinkToFit="0" vertical="center" wrapText="1"/>
    </xf>
    <xf borderId="185" fillId="25" fontId="39" numFmtId="165" xfId="0" applyAlignment="1" applyBorder="1" applyFill="1" applyFont="1" applyNumberFormat="1">
      <alignment horizontal="center" shrinkToFit="0" vertical="center" wrapText="1"/>
    </xf>
    <xf borderId="1" fillId="2" fontId="38" numFmtId="10" xfId="0" applyAlignment="1" applyBorder="1" applyFont="1" applyNumberFormat="1">
      <alignment horizontal="center"/>
    </xf>
    <xf borderId="148" fillId="7" fontId="17" numFmtId="0" xfId="0" applyAlignment="1" applyBorder="1" applyFont="1">
      <alignment horizontal="center" shrinkToFit="0" vertical="center" wrapText="1"/>
    </xf>
    <xf borderId="35" fillId="0" fontId="8" numFmtId="165" xfId="0" applyAlignment="1" applyBorder="1" applyFont="1" applyNumberFormat="1">
      <alignment horizontal="center" shrinkToFit="0" vertical="center" wrapText="1"/>
    </xf>
    <xf borderId="102" fillId="25" fontId="39" numFmtId="165" xfId="0" applyAlignment="1" applyBorder="1" applyFont="1" applyNumberFormat="1">
      <alignment horizontal="center" shrinkToFit="0" vertical="center" wrapText="1"/>
    </xf>
    <xf borderId="119" fillId="7" fontId="17" numFmtId="0" xfId="0" applyAlignment="1" applyBorder="1" applyFont="1">
      <alignment horizontal="center" shrinkToFit="0" vertical="center" wrapText="1"/>
    </xf>
    <xf borderId="87" fillId="0" fontId="8" numFmtId="165" xfId="0" applyAlignment="1" applyBorder="1" applyFont="1" applyNumberFormat="1">
      <alignment horizontal="center" shrinkToFit="0" vertical="center" wrapText="1"/>
    </xf>
    <xf borderId="169" fillId="25" fontId="39" numFmtId="165" xfId="0" applyAlignment="1" applyBorder="1" applyFont="1" applyNumberFormat="1">
      <alignment horizontal="center" shrinkToFit="0" vertical="center" wrapText="1"/>
    </xf>
    <xf borderId="1" fillId="2" fontId="21" numFmtId="0" xfId="0" applyBorder="1" applyFont="1"/>
    <xf borderId="45" fillId="0" fontId="8" numFmtId="10" xfId="0" applyAlignment="1" applyBorder="1" applyFont="1" applyNumberFormat="1">
      <alignment horizontal="center" shrinkToFit="0" vertical="center" wrapText="1"/>
    </xf>
    <xf borderId="185" fillId="26" fontId="40" numFmtId="165" xfId="0" applyAlignment="1" applyBorder="1" applyFill="1" applyFont="1" applyNumberFormat="1">
      <alignment horizontal="center" shrinkToFit="0" vertical="center" wrapText="1"/>
    </xf>
    <xf borderId="35" fillId="0" fontId="8" numFmtId="10" xfId="0" applyAlignment="1" applyBorder="1" applyFont="1" applyNumberFormat="1">
      <alignment horizontal="center" shrinkToFit="0" vertical="center" wrapText="1"/>
    </xf>
    <xf borderId="102" fillId="26" fontId="40" numFmtId="165" xfId="0" applyAlignment="1" applyBorder="1" applyFont="1" applyNumberFormat="1">
      <alignment horizontal="center" shrinkToFit="0" vertical="center" wrapText="1"/>
    </xf>
    <xf borderId="37" fillId="0" fontId="8" numFmtId="10" xfId="0" applyAlignment="1" applyBorder="1" applyFont="1" applyNumberFormat="1">
      <alignment horizontal="center" shrinkToFit="0" vertical="center" wrapText="1"/>
    </xf>
    <xf borderId="192" fillId="26" fontId="40" numFmtId="165" xfId="0" applyAlignment="1" applyBorder="1" applyFont="1" applyNumberFormat="1">
      <alignment horizontal="center" shrinkToFit="0" vertical="center" wrapText="1"/>
    </xf>
    <xf borderId="62" fillId="15" fontId="8" numFmtId="165" xfId="0" applyAlignment="1" applyBorder="1" applyFont="1" applyNumberFormat="1">
      <alignment horizontal="center" vertical="center"/>
    </xf>
    <xf borderId="32" fillId="15" fontId="8" numFmtId="165" xfId="0" applyAlignment="1" applyBorder="1" applyFont="1" applyNumberFormat="1">
      <alignment horizontal="center" vertical="center"/>
    </xf>
    <xf borderId="1" fillId="2" fontId="28" numFmtId="0" xfId="0" applyAlignment="1" applyBorder="1" applyFont="1">
      <alignment vertical="center"/>
    </xf>
    <xf borderId="39" fillId="15" fontId="8" numFmtId="165" xfId="0" applyAlignment="1" applyBorder="1" applyFont="1" applyNumberFormat="1">
      <alignment horizontal="center" vertical="center"/>
    </xf>
    <xf borderId="0" fillId="0" fontId="1" numFmtId="0" xfId="0" applyAlignment="1" applyFont="1">
      <alignment vertical="center"/>
    </xf>
    <xf borderId="187" fillId="27" fontId="41" numFmtId="0" xfId="0" applyAlignment="1" applyBorder="1" applyFill="1" applyFont="1">
      <alignment shrinkToFit="0" vertical="center" wrapText="1"/>
    </xf>
    <xf borderId="64" fillId="13" fontId="11" numFmtId="2" xfId="0" applyAlignment="1" applyBorder="1" applyFont="1" applyNumberFormat="1">
      <alignment shrinkToFit="0" vertical="center" wrapText="1"/>
    </xf>
    <xf borderId="1" fillId="2" fontId="1" numFmtId="2" xfId="0" applyAlignment="1" applyBorder="1" applyFont="1" applyNumberFormat="1">
      <alignment vertical="center"/>
    </xf>
    <xf borderId="1" fillId="2" fontId="28" numFmtId="0" xfId="0" applyAlignment="1" applyBorder="1" applyFont="1">
      <alignment shrinkToFit="0" vertical="center" wrapText="1"/>
    </xf>
    <xf borderId="1" fillId="2" fontId="38" numFmtId="0" xfId="0" applyAlignment="1" applyBorder="1" applyFont="1">
      <alignment vertical="center"/>
    </xf>
    <xf borderId="1" fillId="2" fontId="21" numFmtId="0" xfId="0" applyAlignment="1" applyBorder="1" applyFont="1">
      <alignment shrinkToFit="0" vertical="center" wrapText="1"/>
    </xf>
    <xf borderId="13" fillId="2" fontId="4" numFmtId="0" xfId="0" applyAlignment="1" applyBorder="1" applyFont="1">
      <alignment horizontal="center" shrinkToFit="0" wrapText="1"/>
    </xf>
    <xf borderId="1" fillId="2" fontId="4" numFmtId="167" xfId="0" applyBorder="1" applyFont="1" applyNumberFormat="1"/>
    <xf borderId="13" fillId="2" fontId="1" numFmtId="0" xfId="0" applyAlignment="1" applyBorder="1" applyFont="1">
      <alignment horizontal="center" shrinkToFit="0" wrapText="1"/>
    </xf>
    <xf borderId="0" fillId="0" fontId="38" numFmtId="0" xfId="0" applyFont="1"/>
    <xf borderId="42" fillId="6" fontId="26" numFmtId="0" xfId="0" applyAlignment="1" applyBorder="1" applyFont="1">
      <alignment horizontal="center" vertical="center"/>
    </xf>
    <xf borderId="1" fillId="2" fontId="36" numFmtId="0" xfId="0" applyAlignment="1" applyBorder="1" applyFont="1">
      <alignment horizontal="center" vertical="center"/>
    </xf>
    <xf borderId="193" fillId="28" fontId="7" numFmtId="0" xfId="0" applyAlignment="1" applyBorder="1" applyFill="1" applyFont="1">
      <alignment horizontal="center" shrinkToFit="0" vertical="center" wrapText="1"/>
    </xf>
    <xf borderId="145" fillId="28" fontId="8" numFmtId="0" xfId="0" applyAlignment="1" applyBorder="1" applyFont="1">
      <alignment horizontal="center"/>
    </xf>
    <xf borderId="194" fillId="0" fontId="3" numFmtId="0" xfId="0" applyBorder="1" applyFont="1"/>
    <xf borderId="145" fillId="29" fontId="8" numFmtId="0" xfId="0" applyAlignment="1" applyBorder="1" applyFill="1" applyFont="1">
      <alignment horizontal="center" vertical="center"/>
    </xf>
    <xf borderId="145" fillId="30" fontId="8" numFmtId="0" xfId="0" applyAlignment="1" applyBorder="1" applyFill="1" applyFont="1">
      <alignment horizontal="center"/>
    </xf>
    <xf borderId="66" fillId="31" fontId="8" numFmtId="0" xfId="0" applyAlignment="1" applyBorder="1" applyFill="1" applyFont="1">
      <alignment horizontal="center"/>
    </xf>
    <xf borderId="66" fillId="28" fontId="7" numFmtId="0" xfId="0" applyAlignment="1" applyBorder="1" applyFont="1">
      <alignment horizontal="center" shrinkToFit="0" vertical="center" wrapText="1"/>
    </xf>
    <xf borderId="66" fillId="29" fontId="7" numFmtId="0" xfId="0" applyAlignment="1" applyBorder="1" applyFont="1">
      <alignment horizontal="center" shrinkToFit="0" vertical="center" wrapText="1"/>
    </xf>
    <xf borderId="66" fillId="30" fontId="7" numFmtId="0" xfId="0" applyAlignment="1" applyBorder="1" applyFont="1">
      <alignment horizontal="center" shrinkToFit="0" vertical="center" wrapText="1"/>
    </xf>
    <xf borderId="66" fillId="31" fontId="7" numFmtId="0" xfId="0" applyAlignment="1" applyBorder="1" applyFont="1">
      <alignment horizontal="center" shrinkToFit="0" vertical="center" wrapText="1"/>
    </xf>
    <xf borderId="66" fillId="0" fontId="1" numFmtId="0" xfId="0" applyAlignment="1" applyBorder="1" applyFont="1">
      <alignment horizontal="center" vertical="center"/>
    </xf>
    <xf borderId="66" fillId="0" fontId="1" numFmtId="0" xfId="0" applyAlignment="1" applyBorder="1" applyFont="1">
      <alignment horizontal="center" shrinkToFit="0" vertical="center" wrapText="1"/>
    </xf>
    <xf borderId="67" fillId="0" fontId="1" numFmtId="0" xfId="0" applyAlignment="1" applyBorder="1" applyFont="1">
      <alignment horizontal="center" shrinkToFit="0" vertical="center" wrapText="1"/>
    </xf>
    <xf borderId="79" fillId="0" fontId="1" numFmtId="0" xfId="0" applyAlignment="1" applyBorder="1" applyFont="1">
      <alignment horizontal="center" vertical="center"/>
    </xf>
    <xf borderId="79" fillId="0" fontId="1" numFmtId="0" xfId="0" applyAlignment="1" applyBorder="1" applyFont="1">
      <alignment horizontal="center" shrinkToFit="0" vertical="center" wrapText="1"/>
    </xf>
    <xf borderId="64" fillId="0" fontId="1" numFmtId="0" xfId="0" applyAlignment="1" applyBorder="1" applyFont="1">
      <alignment horizontal="center" vertical="center"/>
    </xf>
    <xf borderId="195" fillId="0" fontId="1" numFmtId="0" xfId="0" applyAlignment="1" applyBorder="1" applyFont="1">
      <alignment horizontal="center" shrinkToFit="0" vertical="center" wrapText="1"/>
    </xf>
    <xf borderId="64" fillId="0" fontId="1" numFmtId="0" xfId="0" applyAlignment="1" applyBorder="1" applyFont="1">
      <alignment horizontal="center" shrinkToFit="0" vertical="center" wrapText="1"/>
    </xf>
    <xf borderId="196" fillId="0" fontId="1" numFmtId="0" xfId="0" applyAlignment="1" applyBorder="1" applyFont="1">
      <alignment horizontal="center" shrinkToFit="0" vertical="center" wrapText="1"/>
    </xf>
    <xf borderId="79" fillId="0" fontId="1" numFmtId="0" xfId="0" applyBorder="1" applyFont="1"/>
    <xf borderId="66" fillId="0" fontId="1" numFmtId="0" xfId="0" applyBorder="1" applyFont="1"/>
    <xf borderId="0" fillId="0" fontId="1" numFmtId="0" xfId="0" applyAlignment="1" applyFont="1">
      <alignment horizontal="center" vertical="center"/>
    </xf>
    <xf borderId="0" fillId="0" fontId="1" numFmtId="0" xfId="0" applyAlignment="1" applyFont="1">
      <alignment horizontal="center" shrinkToFit="0" vertical="center" wrapText="1"/>
    </xf>
    <xf borderId="1" fillId="2" fontId="1" numFmtId="0" xfId="0" applyAlignment="1" applyBorder="1" applyFont="1">
      <alignment horizontal="center" vertical="center"/>
    </xf>
    <xf borderId="15" fillId="6" fontId="26" numFmtId="0" xfId="0" applyAlignment="1" applyBorder="1" applyFont="1">
      <alignment horizontal="center" vertical="center"/>
    </xf>
    <xf borderId="51" fillId="28" fontId="7" numFmtId="0" xfId="0" applyAlignment="1" applyBorder="1" applyFont="1">
      <alignment horizontal="center" shrinkToFit="0" vertical="center" wrapText="1"/>
    </xf>
    <xf borderId="45" fillId="17" fontId="8" numFmtId="0" xfId="0" applyAlignment="1" applyBorder="1" applyFont="1">
      <alignment horizontal="center" vertical="center"/>
    </xf>
    <xf borderId="45" fillId="32" fontId="8" numFmtId="0" xfId="0" applyAlignment="1" applyBorder="1" applyFill="1" applyFont="1">
      <alignment horizontal="center" vertical="center"/>
    </xf>
    <xf borderId="51" fillId="33" fontId="7" numFmtId="0" xfId="0" applyAlignment="1" applyBorder="1" applyFill="1" applyFont="1">
      <alignment horizontal="center" shrinkToFit="0" vertical="center" wrapText="1"/>
    </xf>
    <xf borderId="129" fillId="17" fontId="7" numFmtId="0" xfId="0" applyAlignment="1" applyBorder="1" applyFont="1">
      <alignment horizontal="center" shrinkToFit="0" vertical="center" wrapText="1"/>
    </xf>
    <xf borderId="83" fillId="17" fontId="7" numFmtId="0" xfId="0" applyAlignment="1" applyBorder="1" applyFont="1">
      <alignment horizontal="center" shrinkToFit="0" vertical="center" wrapText="1"/>
    </xf>
    <xf borderId="84" fillId="17" fontId="7" numFmtId="0" xfId="0" applyAlignment="1" applyBorder="1" applyFont="1">
      <alignment horizontal="center" shrinkToFit="0" vertical="center" wrapText="1"/>
    </xf>
    <xf borderId="65" fillId="32" fontId="7" numFmtId="0" xfId="0" applyAlignment="1" applyBorder="1" applyFont="1">
      <alignment horizontal="center" shrinkToFit="0" vertical="center" wrapText="1"/>
    </xf>
    <xf borderId="66" fillId="32" fontId="7" numFmtId="0" xfId="0" applyAlignment="1" applyBorder="1" applyFont="1">
      <alignment horizontal="center" shrinkToFit="0" vertical="center" wrapText="1"/>
    </xf>
    <xf borderId="83" fillId="32" fontId="7" numFmtId="0" xfId="0" applyAlignment="1" applyBorder="1" applyFont="1">
      <alignment horizontal="center" shrinkToFit="0" vertical="center" wrapText="1"/>
    </xf>
    <xf borderId="84" fillId="32" fontId="7" numFmtId="0" xfId="0" applyAlignment="1" applyBorder="1" applyFont="1">
      <alignment horizontal="center" shrinkToFit="0" vertical="center" wrapText="1"/>
    </xf>
    <xf borderId="197" fillId="0" fontId="3" numFmtId="0" xfId="0" applyBorder="1" applyFont="1"/>
    <xf borderId="63" fillId="32" fontId="7" numFmtId="0" xfId="0" applyAlignment="1" applyBorder="1" applyFont="1">
      <alignment horizontal="center" shrinkToFit="0" vertical="center" wrapText="1"/>
    </xf>
    <xf borderId="67" fillId="32" fontId="7" numFmtId="0" xfId="0" applyAlignment="1" applyBorder="1" applyFont="1">
      <alignment horizontal="center" shrinkToFit="0" vertical="center" wrapText="1"/>
    </xf>
    <xf borderId="196" fillId="0" fontId="3" numFmtId="0" xfId="0" applyBorder="1" applyFont="1"/>
    <xf borderId="47" fillId="0" fontId="1" numFmtId="0" xfId="0" applyAlignment="1" applyBorder="1" applyFont="1">
      <alignment horizontal="center" vertical="center"/>
    </xf>
    <xf borderId="61" fillId="0" fontId="1" numFmtId="0" xfId="0" applyAlignment="1" applyBorder="1" applyFont="1">
      <alignment horizontal="center" shrinkToFit="0" vertical="center" wrapText="1"/>
    </xf>
    <xf borderId="21" fillId="0" fontId="1" numFmtId="0" xfId="0" applyAlignment="1" applyBorder="1" applyFont="1">
      <alignment horizontal="center" vertical="center"/>
    </xf>
    <xf borderId="98" fillId="0" fontId="1" numFmtId="0" xfId="0" applyAlignment="1" applyBorder="1" applyFont="1">
      <alignment horizontal="center" vertical="center"/>
    </xf>
    <xf borderId="80" fillId="0" fontId="1" numFmtId="0" xfId="0" applyAlignment="1" applyBorder="1" applyFont="1">
      <alignment horizontal="center" vertical="center"/>
    </xf>
    <xf borderId="94" fillId="0" fontId="1" numFmtId="0" xfId="0" applyAlignment="1" applyBorder="1" applyFont="1">
      <alignment horizontal="center" shrinkToFit="0" vertical="center" wrapText="1"/>
    </xf>
    <xf borderId="48" fillId="0" fontId="1" numFmtId="0" xfId="0" applyAlignment="1" applyBorder="1" applyFont="1">
      <alignment horizontal="center" vertical="center"/>
    </xf>
    <xf borderId="65" fillId="0" fontId="1" numFmtId="0" xfId="0" applyAlignment="1" applyBorder="1" applyFont="1">
      <alignment horizontal="center" vertical="center"/>
    </xf>
    <xf borderId="56" fillId="0" fontId="1" numFmtId="0" xfId="0" applyAlignment="1" applyBorder="1" applyFont="1">
      <alignment horizontal="center" vertical="center"/>
    </xf>
    <xf borderId="48" fillId="0" fontId="1" numFmtId="0" xfId="0" applyAlignment="1" applyBorder="1" applyFont="1">
      <alignment horizontal="center" shrinkToFit="0" vertical="center" wrapText="1"/>
    </xf>
    <xf borderId="34" fillId="0" fontId="1" numFmtId="0" xfId="0" applyAlignment="1" applyBorder="1" applyFont="1">
      <alignment horizontal="center" vertical="center"/>
    </xf>
    <xf borderId="50" fillId="0" fontId="1" numFmtId="0" xfId="0" applyAlignment="1" applyBorder="1" applyFont="1">
      <alignment horizontal="center" vertical="center"/>
    </xf>
    <xf borderId="63" fillId="0" fontId="1" numFmtId="0" xfId="0" applyAlignment="1" applyBorder="1" applyFont="1">
      <alignment horizontal="center" vertical="center"/>
    </xf>
    <xf borderId="41" fillId="0" fontId="1" numFmtId="0" xfId="0" applyAlignment="1" applyBorder="1" applyFont="1">
      <alignment horizontal="center" vertical="center"/>
    </xf>
    <xf borderId="173" fillId="11" fontId="30" numFmtId="0" xfId="0" applyAlignment="1" applyBorder="1" applyFont="1">
      <alignment horizontal="center" vertical="center"/>
    </xf>
    <xf borderId="33" fillId="0" fontId="1" numFmtId="0" xfId="0" applyBorder="1" applyFont="1"/>
    <xf borderId="66" fillId="0" fontId="1" numFmtId="0" xfId="0" applyBorder="1" applyFont="1"/>
    <xf borderId="83" fillId="0" fontId="1" numFmtId="0" xfId="0" applyBorder="1" applyFont="1"/>
    <xf borderId="48" fillId="0" fontId="1" numFmtId="0" xfId="0" applyAlignment="1" applyBorder="1" applyFont="1">
      <alignment horizontal="left" vertical="center"/>
    </xf>
    <xf borderId="28" fillId="0" fontId="1" numFmtId="0" xfId="0" applyBorder="1" applyFont="1"/>
    <xf borderId="83" fillId="0" fontId="1" numFmtId="0" xfId="0" applyBorder="1" applyFont="1"/>
    <xf borderId="28" fillId="0" fontId="14" numFmtId="0" xfId="0" applyAlignment="1" applyBorder="1" applyFont="1">
      <alignment shrinkToFit="0" wrapText="1"/>
    </xf>
    <xf borderId="1" fillId="15" fontId="1" numFmtId="0" xfId="0" applyBorder="1" applyFont="1"/>
    <xf borderId="124" fillId="11" fontId="37" numFmtId="0" xfId="0" applyAlignment="1" applyBorder="1" applyFont="1">
      <alignment horizontal="center"/>
    </xf>
    <xf borderId="32" fillId="11" fontId="30" numFmtId="0" xfId="0" applyAlignment="1" applyBorder="1" applyFont="1">
      <alignment horizontal="center"/>
    </xf>
    <xf borderId="10" fillId="11" fontId="30" numFmtId="0" xfId="0" applyAlignment="1" applyBorder="1" applyFont="1">
      <alignment horizontal="center" shrinkToFit="0" vertical="center" wrapText="1"/>
    </xf>
    <xf borderId="10" fillId="11" fontId="30" numFmtId="0" xfId="0" applyAlignment="1" applyBorder="1" applyFont="1">
      <alignment horizontal="center"/>
    </xf>
    <xf borderId="66" fillId="11" fontId="42" numFmtId="0" xfId="0" applyAlignment="1" applyBorder="1" applyFont="1">
      <alignment horizontal="center" shrinkToFit="0" vertical="center" wrapText="1"/>
    </xf>
    <xf borderId="66" fillId="11" fontId="37" numFmtId="0" xfId="0" applyAlignment="1" applyBorder="1" applyFont="1">
      <alignment horizontal="center"/>
    </xf>
    <xf borderId="66" fillId="0" fontId="1" numFmtId="165" xfId="0" applyAlignment="1" applyBorder="1" applyFont="1" applyNumberFormat="1">
      <alignment horizontal="center" vertical="center"/>
    </xf>
    <xf borderId="66" fillId="0" fontId="1" numFmtId="17" xfId="0" applyAlignment="1" applyBorder="1" applyFont="1" applyNumberFormat="1">
      <alignment horizontal="center" shrinkToFit="0" vertical="center" wrapText="1"/>
    </xf>
    <xf borderId="32" fillId="11" fontId="30" numFmtId="0" xfId="0" applyAlignment="1" applyBorder="1" applyFont="1">
      <alignment horizontal="center" shrinkToFit="0" vertical="center" wrapText="1"/>
    </xf>
    <xf borderId="124" fillId="11" fontId="43" numFmtId="0" xfId="0" applyAlignment="1" applyBorder="1" applyFont="1">
      <alignment horizontal="center" shrinkToFit="0" wrapText="1"/>
    </xf>
    <xf borderId="66" fillId="0" fontId="1" numFmtId="0" xfId="0" applyAlignment="1" applyBorder="1" applyFont="1">
      <alignment horizontal="center" shrinkToFit="0" vertical="top" wrapText="1"/>
    </xf>
    <xf borderId="66" fillId="0" fontId="1" numFmtId="166" xfId="0" applyAlignment="1" applyBorder="1" applyFont="1" applyNumberFormat="1">
      <alignment horizontal="center" vertical="center"/>
    </xf>
    <xf borderId="66" fillId="0" fontId="1" numFmtId="0" xfId="0" applyAlignment="1" applyBorder="1" applyFont="1">
      <alignment shrinkToFit="0" wrapText="1"/>
    </xf>
    <xf borderId="63" fillId="12" fontId="1" numFmtId="0" xfId="0" applyAlignment="1" applyBorder="1" applyFont="1">
      <alignment horizontal="center" vertical="center"/>
    </xf>
    <xf borderId="67" fillId="12" fontId="1" numFmtId="0" xfId="0" applyAlignment="1" applyBorder="1" applyFont="1">
      <alignment horizontal="center" shrinkToFit="0" vertical="center" wrapText="1"/>
    </xf>
    <xf borderId="59" fillId="12" fontId="1" numFmtId="0" xfId="0" applyAlignment="1" applyBorder="1" applyFont="1">
      <alignment horizontal="center" vertical="center"/>
    </xf>
    <xf borderId="1" fillId="2" fontId="44" numFmtId="0" xfId="0" applyBorder="1" applyFont="1"/>
    <xf borderId="73" fillId="17" fontId="7" numFmtId="0" xfId="0" applyAlignment="1" applyBorder="1" applyFont="1">
      <alignment horizontal="center" vertical="center"/>
    </xf>
    <xf borderId="74" fillId="17" fontId="7" numFmtId="0" xfId="0" applyAlignment="1" applyBorder="1" applyFont="1">
      <alignment horizontal="center" vertical="center"/>
    </xf>
    <xf borderId="74" fillId="17" fontId="7" numFmtId="0" xfId="0" applyAlignment="1" applyBorder="1" applyFont="1">
      <alignment horizontal="center" shrinkToFit="0" vertical="center" wrapText="1"/>
    </xf>
    <xf borderId="75" fillId="17" fontId="7" numFmtId="0" xfId="0" applyAlignment="1" applyBorder="1" applyFont="1">
      <alignment horizontal="center" vertical="center"/>
    </xf>
    <xf borderId="68" fillId="0" fontId="1" numFmtId="0" xfId="0" applyAlignment="1" applyBorder="1" applyFont="1">
      <alignment horizontal="center" vertical="center"/>
    </xf>
    <xf borderId="69" fillId="0" fontId="1" numFmtId="0" xfId="0" applyAlignment="1" applyBorder="1" applyFont="1">
      <alignment horizontal="center" vertical="center"/>
    </xf>
    <xf borderId="69" fillId="0" fontId="1" numFmtId="0" xfId="0" applyAlignment="1" applyBorder="1" applyFont="1">
      <alignment horizontal="center" shrinkToFit="0" vertical="center" wrapText="1"/>
    </xf>
    <xf borderId="44" fillId="31" fontId="1" numFmtId="0" xfId="0" applyAlignment="1" applyBorder="1" applyFont="1">
      <alignment horizontal="center" vertical="center"/>
    </xf>
    <xf borderId="76" fillId="0" fontId="1" numFmtId="0" xfId="0" applyAlignment="1" applyBorder="1" applyFont="1">
      <alignment horizontal="center" vertical="center"/>
    </xf>
    <xf borderId="195" fillId="0" fontId="1" numFmtId="0" xfId="0" applyAlignment="1" applyBorder="1" applyFont="1">
      <alignment horizontal="center" vertical="center"/>
    </xf>
    <xf borderId="53" fillId="16" fontId="1" numFmtId="0" xfId="0" applyAlignment="1" applyBorder="1" applyFont="1">
      <alignment horizontal="center" vertical="center"/>
    </xf>
    <xf borderId="198" fillId="0" fontId="3" numFmtId="0" xfId="0" applyBorder="1" applyFont="1"/>
    <xf borderId="56" fillId="16" fontId="1" numFmtId="0" xfId="0" applyAlignment="1" applyBorder="1" applyFont="1">
      <alignment horizontal="center" vertical="center"/>
    </xf>
    <xf borderId="56" fillId="31" fontId="1" numFmtId="0" xfId="0" applyAlignment="1" applyBorder="1" applyFont="1">
      <alignment horizontal="center" vertical="center"/>
    </xf>
    <xf borderId="59" fillId="16" fontId="1" numFmtId="0" xfId="0" applyAlignment="1" applyBorder="1" applyFont="1">
      <alignment horizontal="center" vertical="center"/>
    </xf>
    <xf borderId="59" fillId="31" fontId="1" numFmtId="0" xfId="0" applyAlignment="1" applyBorder="1" applyFont="1">
      <alignment horizontal="center" vertical="center"/>
    </xf>
    <xf borderId="56" fillId="15" fontId="1" numFmtId="0" xfId="0" applyAlignment="1" applyBorder="1" applyFont="1">
      <alignment horizontal="center" vertical="center"/>
    </xf>
    <xf borderId="76" fillId="0" fontId="1" numFmtId="0" xfId="0" applyAlignment="1" applyBorder="1" applyFont="1">
      <alignment horizontal="center" shrinkToFit="0" vertical="center" wrapText="1"/>
    </xf>
    <xf borderId="53" fillId="31" fontId="1" numFmtId="0" xfId="0" applyAlignment="1" applyBorder="1" applyFont="1">
      <alignment horizontal="center" vertical="center"/>
    </xf>
    <xf borderId="59" fillId="15" fontId="1" numFmtId="0" xfId="0" applyAlignment="1" applyBorder="1" applyFont="1">
      <alignment horizontal="center" vertical="center"/>
    </xf>
  </cellXfs>
  <cellStyles count="1">
    <cellStyle xfId="0" name="Normal" builtinId="0"/>
  </cellStyles>
  <dxfs count="24">
    <dxf>
      <font>
        <b/>
        <color theme="1"/>
      </font>
      <fill>
        <patternFill patternType="solid">
          <fgColor rgb="FFA8D08D"/>
          <bgColor rgb="FFA8D08D"/>
        </patternFill>
      </fill>
      <border/>
    </dxf>
    <dxf>
      <font>
        <color theme="0"/>
      </font>
      <fill>
        <patternFill patternType="solid">
          <fgColor rgb="FFC00000"/>
          <bgColor rgb="FFC00000"/>
        </patternFill>
      </fill>
      <border/>
    </dxf>
    <dxf>
      <font>
        <color theme="1"/>
      </font>
      <fill>
        <patternFill patternType="solid">
          <fgColor rgb="FFFFC000"/>
          <bgColor rgb="FFFFC000"/>
        </patternFill>
      </fill>
      <border/>
    </dxf>
    <dxf>
      <font>
        <b/>
      </font>
      <fill>
        <patternFill patternType="solid">
          <fgColor rgb="FFFFC000"/>
          <bgColor rgb="FFFFC000"/>
        </patternFill>
      </fill>
      <border/>
    </dxf>
    <dxf>
      <font>
        <b/>
        <color theme="0"/>
      </font>
      <fill>
        <patternFill patternType="solid">
          <fgColor rgb="FFC00000"/>
          <bgColor rgb="FFC00000"/>
        </patternFill>
      </fill>
      <border/>
    </dxf>
    <dxf>
      <font>
        <b/>
      </font>
      <fill>
        <patternFill patternType="solid">
          <fgColor rgb="FFA8D08D"/>
          <bgColor rgb="FFA8D08D"/>
        </patternFill>
      </fill>
      <border/>
    </dxf>
    <dxf>
      <font/>
      <fill>
        <patternFill patternType="solid">
          <fgColor rgb="FFFFC000"/>
          <bgColor rgb="FFFFC000"/>
        </patternFill>
      </fill>
      <border/>
    </dxf>
    <dxf>
      <font>
        <b/>
        <color theme="1"/>
      </font>
      <fill>
        <patternFill patternType="solid">
          <fgColor rgb="FFFFC000"/>
          <bgColor rgb="FFFFC000"/>
        </patternFill>
      </fill>
      <border/>
    </dxf>
    <dxf>
      <font/>
      <fill>
        <patternFill patternType="solid">
          <fgColor rgb="FF92D050"/>
          <bgColor rgb="FF92D050"/>
        </patternFill>
      </fill>
      <border/>
    </dxf>
    <dxf>
      <font/>
      <fill>
        <patternFill patternType="solid">
          <fgColor rgb="FFA8D08D"/>
          <bgColor rgb="FFA8D08D"/>
        </patternFill>
      </fill>
      <border/>
    </dxf>
    <dxf>
      <font>
        <color theme="1"/>
      </font>
      <fill>
        <patternFill patternType="solid">
          <fgColor rgb="FFA8D08D"/>
          <bgColor rgb="FFA8D08D"/>
        </patternFill>
      </fill>
      <border/>
    </dxf>
    <dxf>
      <font>
        <color theme="0"/>
      </font>
      <fill>
        <patternFill patternType="solid">
          <fgColor rgb="FFC00000"/>
          <bgColor rgb="FFC00000"/>
        </patternFill>
      </fill>
      <border>
        <left style="thin">
          <color rgb="FFFF0000"/>
        </left>
        <right style="thin">
          <color rgb="FFFF0000"/>
        </right>
        <top style="thin">
          <color rgb="FFFF0000"/>
        </top>
        <bottom style="thin">
          <color rgb="FFFF0000"/>
        </bottom>
      </border>
    </dxf>
    <dxf>
      <font/>
      <fill>
        <patternFill patternType="solid">
          <fgColor rgb="FFF7CAAC"/>
          <bgColor rgb="FFF7CAAC"/>
        </patternFill>
      </fill>
      <border/>
    </dxf>
    <dxf>
      <font/>
      <fill>
        <patternFill patternType="solid">
          <fgColor theme="0"/>
          <bgColor theme="0"/>
        </patternFill>
      </fill>
      <border/>
    </dxf>
    <dxf>
      <font/>
      <fill>
        <patternFill patternType="solid">
          <fgColor rgb="FF7B7B7B"/>
          <bgColor rgb="FF7B7B7B"/>
        </patternFill>
      </fill>
      <border/>
    </dxf>
    <dxf>
      <font>
        <color theme="1"/>
      </font>
      <fill>
        <patternFill patternType="solid">
          <fgColor rgb="FFA5A5A5"/>
          <bgColor rgb="FFA5A5A5"/>
        </patternFill>
      </fill>
      <border/>
    </dxf>
    <dxf>
      <font>
        <color theme="1"/>
      </font>
      <fill>
        <patternFill patternType="solid">
          <fgColor rgb="FFBFBFBF"/>
          <bgColor rgb="FFBFBFBF"/>
        </patternFill>
      </fill>
      <border/>
    </dxf>
    <dxf>
      <font>
        <color theme="0"/>
      </font>
      <fill>
        <patternFill patternType="solid">
          <fgColor rgb="FFC00000"/>
          <bgColor rgb="FFC00000"/>
        </patternFill>
      </fill>
      <border>
        <left style="thin">
          <color rgb="FF000000"/>
        </left>
        <right style="thin">
          <color rgb="FF000000"/>
        </right>
        <top style="thin">
          <color rgb="FF000000"/>
        </top>
        <bottom style="thin">
          <color rgb="FF000000"/>
        </bottom>
      </border>
    </dxf>
    <dxf>
      <font/>
      <fill>
        <patternFill patternType="solid">
          <fgColor rgb="FFBFBFBF"/>
          <bgColor rgb="FFBFBFBF"/>
        </patternFill>
      </fill>
      <border/>
    </dxf>
    <dxf>
      <font>
        <color rgb="FF0C0C0C"/>
      </font>
      <fill>
        <patternFill patternType="solid">
          <fgColor rgb="FFFFC000"/>
          <bgColor rgb="FFFFC000"/>
        </patternFill>
      </fill>
      <border/>
    </dxf>
    <dxf>
      <font/>
      <fill>
        <patternFill patternType="none"/>
      </fill>
      <border/>
    </dxf>
    <dxf>
      <font/>
      <fill>
        <patternFill patternType="solid">
          <fgColor theme="4"/>
          <bgColor theme="4"/>
        </patternFill>
      </fill>
      <border/>
    </dxf>
    <dxf>
      <font/>
      <fill>
        <patternFill patternType="solid">
          <fgColor theme="0"/>
          <bgColor theme="0"/>
        </patternFill>
      </fill>
      <border/>
    </dxf>
    <dxf>
      <font/>
      <fill>
        <patternFill patternType="solid">
          <fgColor theme="1"/>
          <bgColor theme="1"/>
        </patternFill>
      </fill>
      <border/>
    </dxf>
  </dxfs>
  <tableStyles count="15">
    <tableStyle count="3" pivot="0" name="11. Lists-style">
      <tableStyleElement dxfId="21" type="headerRow"/>
      <tableStyleElement dxfId="22" type="firstRowStripe"/>
      <tableStyleElement dxfId="22" type="secondRowStripe"/>
    </tableStyle>
    <tableStyle count="3" pivot="0" name="11. Lists-style 2">
      <tableStyleElement dxfId="21" type="headerRow"/>
      <tableStyleElement dxfId="22" type="firstRowStripe"/>
      <tableStyleElement dxfId="22" type="secondRowStripe"/>
    </tableStyle>
    <tableStyle count="3" pivot="0" name="11. Lists-style 3">
      <tableStyleElement dxfId="21" type="headerRow"/>
      <tableStyleElement dxfId="22" type="firstRowStripe"/>
      <tableStyleElement dxfId="22" type="secondRowStripe"/>
    </tableStyle>
    <tableStyle count="3" pivot="0" name="11. Lists-style 4">
      <tableStyleElement dxfId="21" type="headerRow"/>
      <tableStyleElement dxfId="22" type="firstRowStripe"/>
      <tableStyleElement dxfId="22" type="secondRowStripe"/>
    </tableStyle>
    <tableStyle count="3" pivot="0" name="11. Lists-style 5">
      <tableStyleElement dxfId="21" type="headerRow"/>
      <tableStyleElement dxfId="22" type="firstRowStripe"/>
      <tableStyleElement dxfId="22" type="secondRowStripe"/>
    </tableStyle>
    <tableStyle count="3" pivot="0" name="11. Lists-style 6">
      <tableStyleElement dxfId="21" type="headerRow"/>
      <tableStyleElement dxfId="22" type="firstRowStripe"/>
      <tableStyleElement dxfId="22" type="secondRowStripe"/>
    </tableStyle>
    <tableStyle count="3" pivot="0" name="11. Lists-style 7">
      <tableStyleElement dxfId="21" type="headerRow"/>
      <tableStyleElement dxfId="22" type="firstRowStripe"/>
      <tableStyleElement dxfId="22" type="secondRowStripe"/>
    </tableStyle>
    <tableStyle count="3" pivot="0" name="11. Lists-style 8">
      <tableStyleElement dxfId="21" type="headerRow"/>
      <tableStyleElement dxfId="22" type="firstRowStripe"/>
      <tableStyleElement dxfId="22" type="secondRowStripe"/>
    </tableStyle>
    <tableStyle count="3" pivot="0" name="11. Lists-style 9">
      <tableStyleElement dxfId="21" type="headerRow"/>
      <tableStyleElement dxfId="22" type="firstRowStripe"/>
      <tableStyleElement dxfId="22" type="secondRowStripe"/>
    </tableStyle>
    <tableStyle count="3" pivot="0" name="11. Lists-style 10">
      <tableStyleElement dxfId="21" type="headerRow"/>
      <tableStyleElement dxfId="22" type="firstRowStripe"/>
      <tableStyleElement dxfId="22" type="secondRowStripe"/>
    </tableStyle>
    <tableStyle count="3" pivot="0" name="11. Lists-style 11">
      <tableStyleElement dxfId="21" type="headerRow"/>
      <tableStyleElement dxfId="22" type="firstRowStripe"/>
      <tableStyleElement dxfId="22" type="secondRowStripe"/>
    </tableStyle>
    <tableStyle count="3" pivot="0" name="11. Lists-style 12">
      <tableStyleElement dxfId="21" type="headerRow"/>
      <tableStyleElement dxfId="22" type="firstRowStripe"/>
      <tableStyleElement dxfId="22" type="secondRowStripe"/>
    </tableStyle>
    <tableStyle count="3" pivot="0" name="11. Lists-style 13">
      <tableStyleElement dxfId="21" type="headerRow"/>
      <tableStyleElement dxfId="22" type="firstRowStripe"/>
      <tableStyleElement dxfId="22" type="secondRowStripe"/>
    </tableStyle>
    <tableStyle count="3" pivot="0" name="11. Lists-style 14">
      <tableStyleElement dxfId="23" type="headerRow"/>
      <tableStyleElement dxfId="22" type="firstRowStripe"/>
      <tableStyleElement dxfId="22" type="secondRowStripe"/>
    </tableStyle>
    <tableStyle count="3" pivot="0" name="11. Lists-style 15">
      <tableStyleElement dxfId="23" type="headerRow"/>
      <tableStyleElement dxfId="22" type="firstRowStripe"/>
      <tableStyleElement dxfId="22"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tx>
            <c:v>Baseline</c:v>
          </c:tx>
          <c:spPr>
            <a:solidFill>
              <a:schemeClr val="accent1"/>
            </a:solidFill>
            <a:ln cmpd="sng">
              <a:noFill/>
            </a:ln>
          </c:spPr>
          <c:cat>
            <c:strRef>
              <c:f>'8. Headline Results'!$C$15:$C$17</c:f>
            </c:strRef>
          </c:cat>
          <c:val>
            <c:numRef>
              <c:f>'8. Headline Results'!$C$36:$C$38</c:f>
              <c:numCache/>
            </c:numRef>
          </c:val>
        </c:ser>
        <c:ser>
          <c:idx val="1"/>
          <c:order val="1"/>
          <c:tx>
            <c:v>Provision</c:v>
          </c:tx>
          <c:spPr>
            <a:solidFill>
              <a:schemeClr val="accent1"/>
            </a:solidFill>
            <a:ln cmpd="sng">
              <a:noFill/>
            </a:ln>
          </c:spPr>
          <c:cat>
            <c:strRef>
              <c:f>'8. Headline Results'!$C$15:$C$17</c:f>
            </c:strRef>
          </c:cat>
          <c:val>
            <c:numRef>
              <c:f>'8. Headline Results'!$D$36:$D$38</c:f>
              <c:numCache/>
            </c:numRef>
          </c:val>
        </c:ser>
        <c:axId val="1390124828"/>
        <c:axId val="1484584490"/>
      </c:barChart>
      <c:catAx>
        <c:axId val="139012482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400">
                <a:solidFill>
                  <a:srgbClr val="000000"/>
                </a:solidFill>
                <a:latin typeface="+mn-lt"/>
              </a:defRPr>
            </a:pPr>
          </a:p>
        </c:txPr>
        <c:crossAx val="1484584490"/>
      </c:catAx>
      <c:valAx>
        <c:axId val="148458449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1200">
                <a:solidFill>
                  <a:srgbClr val="000000"/>
                </a:solidFill>
                <a:latin typeface="+mn-lt"/>
              </a:defRPr>
            </a:pPr>
          </a:p>
        </c:txPr>
        <c:crossAx val="1390124828"/>
      </c:valAx>
    </c:plotArea>
    <c:legend>
      <c:legendPos val="b"/>
      <c:layout>
        <c:manualLayout>
          <c:xMode val="edge"/>
          <c:yMode val="edge"/>
          <c:x val="0.32953449664779744"/>
          <c:y val="0.9191595214680942"/>
        </c:manualLayout>
      </c:layout>
      <c:overlay val="0"/>
      <c:txPr>
        <a:bodyPr/>
        <a:lstStyle/>
        <a:p>
          <a:pPr lvl="0">
            <a:defRPr b="0" i="0" sz="140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447675</xdr:colOff>
      <xdr:row>24</xdr:row>
      <xdr:rowOff>47625</xdr:rowOff>
    </xdr:from>
    <xdr:ext cx="2562225" cy="266700"/>
    <xdr:sp>
      <xdr:nvSpPr>
        <xdr:cNvPr id="3" name="Shape 3"/>
        <xdr:cNvSpPr txBox="1"/>
      </xdr:nvSpPr>
      <xdr:spPr>
        <a:xfrm>
          <a:off x="4068503" y="3647720"/>
          <a:ext cx="2554995" cy="264560"/>
        </a:xfrm>
        <a:prstGeom prst="rect">
          <a:avLst/>
        </a:prstGeom>
        <a:noFill/>
        <a:ln>
          <a:noFill/>
        </a:ln>
      </xdr:spPr>
      <xdr:txBody>
        <a:bodyPr anchorCtr="0" anchor="t" bIns="45700" lIns="91425" spcFirstLastPara="1" rIns="91425" wrap="square" tIns="45700">
          <a:spAutoFit/>
        </a:bodyPr>
        <a:lstStyle/>
        <a:p>
          <a:pPr indent="0" lvl="0" marL="0" rtl="0" algn="l">
            <a:spcBef>
              <a:spcPts val="0"/>
            </a:spcBef>
            <a:spcAft>
              <a:spcPts val="0"/>
            </a:spcAft>
            <a:buNone/>
          </a:pPr>
          <a:r>
            <a:rPr b="0" i="0" lang="en-US" sz="1100">
              <a:solidFill>
                <a:srgbClr val="000000"/>
              </a:solidFill>
              <a:latin typeface="Calibri"/>
              <a:ea typeface="Calibri"/>
              <a:cs typeface="Calibri"/>
              <a:sym typeface="Calibri"/>
            </a:rPr>
            <a:t>©</a:t>
          </a:r>
          <a:r>
            <a:rPr lang="en-US" sz="1100">
              <a:solidFill>
                <a:srgbClr val="000000"/>
              </a:solidFill>
              <a:latin typeface="Calibri"/>
              <a:ea typeface="Calibri"/>
              <a:cs typeface="Calibri"/>
              <a:sym typeface="Calibri"/>
            </a:rPr>
            <a:t> </a:t>
          </a:r>
          <a:r>
            <a:rPr b="0" i="0" lang="en-US" sz="1100">
              <a:solidFill>
                <a:schemeClr val="dk1"/>
              </a:solidFill>
              <a:latin typeface="Calibri"/>
              <a:ea typeface="Calibri"/>
              <a:cs typeface="Calibri"/>
              <a:sym typeface="Calibri"/>
            </a:rPr>
            <a:t> Natural England/Margaret Nieke 2012</a:t>
          </a:r>
          <a:endParaRPr sz="1100">
            <a:solidFill>
              <a:srgbClr val="000000"/>
            </a:solidFill>
          </a:endParaRPr>
        </a:p>
      </xdr:txBody>
    </xdr:sp>
    <xdr:clientData fLocksWithSheet="0"/>
  </xdr:oneCellAnchor>
  <xdr:oneCellAnchor>
    <xdr:from>
      <xdr:col>9</xdr:col>
      <xdr:colOff>504825</xdr:colOff>
      <xdr:row>0</xdr:row>
      <xdr:rowOff>0</xdr:rowOff>
    </xdr:from>
    <xdr:ext cx="5372100" cy="5438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885825</xdr:colOff>
      <xdr:row>33</xdr:row>
      <xdr:rowOff>76200</xdr:rowOff>
    </xdr:from>
    <xdr:ext cx="11125200" cy="4543425"/>
    <xdr:graphicFrame>
      <xdr:nvGraphicFramePr>
        <xdr:cNvPr id="1"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A11" displayName="Table_1" name="Table_1" id="1">
  <tableColumns count="1">
    <tableColumn name="Broadhabitattype" id="1"/>
  </tableColumns>
  <tableStyleInfo name="11. Lists-style" showColumnStripes="0" showFirstColumn="1" showLastColumn="1" showRowStripes="1"/>
</table>
</file>

<file path=xl/tables/table2.xml><?xml version="1.0" encoding="utf-8"?>
<table xmlns="http://schemas.openxmlformats.org/spreadsheetml/2006/main" ref="C1:C11" displayName="Table_2" name="Table_2" id="2">
  <tableColumns count="1">
    <tableColumn name="Cropland" id="1"/>
  </tableColumns>
  <tableStyleInfo name="11. Lists-style 2" showColumnStripes="0" showFirstColumn="1" showLastColumn="1" showRowStripes="1"/>
</table>
</file>

<file path=xl/tables/table3.xml><?xml version="1.0" encoding="utf-8"?>
<table xmlns="http://schemas.openxmlformats.org/spreadsheetml/2006/main" ref="E1:E6" displayName="Table_3" name="Table_3" id="3">
  <tableColumns count="1">
    <tableColumn name="Grassland" id="1"/>
  </tableColumns>
  <tableStyleInfo name="11. Lists-style 3" showColumnStripes="0" showFirstColumn="1" showLastColumn="1" showRowStripes="1"/>
</table>
</file>

<file path=xl/tables/table4.xml><?xml version="1.0" encoding="utf-8"?>
<table xmlns="http://schemas.openxmlformats.org/spreadsheetml/2006/main" ref="G1:G10" displayName="Table_4" name="Table_4" id="4">
  <tableColumns count="1">
    <tableColumn name="Heathlandandshrub" id="1"/>
  </tableColumns>
  <tableStyleInfo name="11. Lists-style 4" showColumnStripes="0" showFirstColumn="1" showLastColumn="1" showRowStripes="1"/>
</table>
</file>

<file path=xl/tables/table5.xml><?xml version="1.0" encoding="utf-8"?>
<table xmlns="http://schemas.openxmlformats.org/spreadsheetml/2006/main" ref="I1:I4" displayName="Table_5" name="Table_5" id="5">
  <tableColumns count="1">
    <tableColumn name="Intertidalhardstructures" id="1"/>
  </tableColumns>
  <tableStyleInfo name="11. Lists-style 5" showColumnStripes="0" showFirstColumn="1" showLastColumn="1" showRowStripes="1"/>
</table>
</file>

<file path=xl/tables/table6.xml><?xml version="1.0" encoding="utf-8"?>
<table xmlns="http://schemas.openxmlformats.org/spreadsheetml/2006/main" ref="K1:K10" displayName="Table_6" name="Table_6" id="6">
  <tableColumns count="1">
    <tableColumn name="Intertidalsediment" id="1"/>
  </tableColumns>
  <tableStyleInfo name="11. Lists-style 6" showColumnStripes="0" showFirstColumn="1" showLastColumn="1" showRowStripes="1"/>
</table>
</file>

<file path=xl/tables/table7.xml><?xml version="1.0" encoding="utf-8"?>
<table xmlns="http://schemas.openxmlformats.org/spreadsheetml/2006/main" ref="M1:M4" displayName="Table_7" name="Table_7" id="7">
  <tableColumns count="1">
    <tableColumn name="Lakes" id="1"/>
  </tableColumns>
  <tableStyleInfo name="11. Lists-style 7" showColumnStripes="0" showFirstColumn="1" showLastColumn="1" showRowStripes="1"/>
</table>
</file>

<file path=xl/tables/table8.xml><?xml version="1.0" encoding="utf-8"?>
<table xmlns="http://schemas.openxmlformats.org/spreadsheetml/2006/main" ref="O1:O4" displayName="Table_8" name="Table_8" id="8">
  <tableColumns count="1">
    <tableColumn name="Sparselyvegetatedland" id="1"/>
  </tableColumns>
  <tableStyleInfo name="11. Lists-style 8" showColumnStripes="0" showFirstColumn="1" showLastColumn="1" showRowStripes="1"/>
</table>
</file>

<file path=xl/tables/table9.xml><?xml version="1.0" encoding="utf-8"?>
<table xmlns="http://schemas.openxmlformats.org/spreadsheetml/2006/main" ref="Q1:Q21" displayName="Table_9" name="Table_9" id="9">
  <tableColumns count="1">
    <tableColumn name="Urban" id="1"/>
  </tableColumns>
  <tableStyleInfo name="11. Lists-style 9" showColumnStripes="0" showFirstColumn="1" showLastColumn="1" showRowStripes="1"/>
</table>
</file>

<file path=xl/tables/table10.xml><?xml version="1.0" encoding="utf-8"?>
<table xmlns="http://schemas.openxmlformats.org/spreadsheetml/2006/main" ref="S1:S5" displayName="Table_10" name="Table_10" id="10">
  <tableColumns count="1">
    <tableColumn name="Woodlandandforest" id="1"/>
  </tableColumns>
  <tableStyleInfo name="11. Lists-style 10" showColumnStripes="0" showFirstColumn="1" showLastColumn="1" showRowStripes="1"/>
</table>
</file>

<file path=xl/tables/table11.xml><?xml version="1.0" encoding="utf-8"?>
<table xmlns="http://schemas.openxmlformats.org/spreadsheetml/2006/main" ref="U1:U10" displayName="Table_11" name="Table_11" id="11">
  <tableColumns count="1">
    <tableColumn name="HedgerowsandLinesoftrees" id="1"/>
  </tableColumns>
  <tableStyleInfo name="11. Lists-style 11" showColumnStripes="0" showFirstColumn="1" showLastColumn="1" showRowStripes="1"/>
</table>
</file>

<file path=xl/tables/table12.xml><?xml version="1.0" encoding="utf-8"?>
<table xmlns="http://schemas.openxmlformats.org/spreadsheetml/2006/main" ref="W1:W5" displayName="Table_12" name="Table_12" id="12">
  <tableColumns count="1">
    <tableColumn name="Lineoftrees" id="1"/>
  </tableColumns>
  <tableStyleInfo name="11. Lists-style 12" showColumnStripes="0" showFirstColumn="1" showLastColumn="1" showRowStripes="1"/>
</table>
</file>

<file path=xl/tables/table13.xml><?xml version="1.0" encoding="utf-8"?>
<table xmlns="http://schemas.openxmlformats.org/spreadsheetml/2006/main" ref="Y1:Y11" displayName="Table_13" name="Table_13" id="13">
  <tableColumns count="1">
    <tableColumn name="Watercourses" id="1"/>
  </tableColumns>
  <tableStyleInfo name="11. Lists-style 13" showColumnStripes="0" showFirstColumn="1" showLastColumn="1" showRowStripes="1"/>
</table>
</file>

<file path=xl/tables/table14.xml><?xml version="1.0" encoding="utf-8"?>
<table xmlns="http://schemas.openxmlformats.org/spreadsheetml/2006/main" ref="AA1:AA2" displayName="Table_14" name="Table_14" id="14">
  <tableColumns count="1">
    <tableColumn name="Coastalsaltmarsh" id="1"/>
  </tableColumns>
  <tableStyleInfo name="11. Lists-style 14" showColumnStripes="0" showFirstColumn="1" showLastColumn="1" showRowStripes="1"/>
</table>
</file>

<file path=xl/tables/table15.xml><?xml version="1.0" encoding="utf-8"?>
<table xmlns="http://schemas.openxmlformats.org/spreadsheetml/2006/main" ref="AC1:AC3" displayName="Table_15" name="Table_15" id="15">
  <tableColumns count="1">
    <tableColumn name="Individualtrees" id="1"/>
  </tableColumns>
  <tableStyleInfo name="11. Lists-style 15"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0" Type="http://schemas.openxmlformats.org/officeDocument/2006/relationships/table" Target="../tables/table4.xml"/><Relationship Id="rId31" Type="http://schemas.openxmlformats.org/officeDocument/2006/relationships/table" Target="../tables/table15.xml"/><Relationship Id="rId30" Type="http://schemas.openxmlformats.org/officeDocument/2006/relationships/table" Target="../tables/table14.xml"/><Relationship Id="rId22" Type="http://schemas.openxmlformats.org/officeDocument/2006/relationships/table" Target="../tables/table6.xml"/><Relationship Id="rId21" Type="http://schemas.openxmlformats.org/officeDocument/2006/relationships/table" Target="../tables/table5.xml"/><Relationship Id="rId24" Type="http://schemas.openxmlformats.org/officeDocument/2006/relationships/table" Target="../tables/table8.xml"/><Relationship Id="rId23" Type="http://schemas.openxmlformats.org/officeDocument/2006/relationships/table" Target="../tables/table7.xml"/><Relationship Id="rId1" Type="http://schemas.openxmlformats.org/officeDocument/2006/relationships/drawing" Target="../drawings/drawing11.xml"/><Relationship Id="rId26" Type="http://schemas.openxmlformats.org/officeDocument/2006/relationships/table" Target="../tables/table10.xml"/><Relationship Id="rId25" Type="http://schemas.openxmlformats.org/officeDocument/2006/relationships/table" Target="../tables/table9.xml"/><Relationship Id="rId17" Type="http://schemas.openxmlformats.org/officeDocument/2006/relationships/table" Target="../tables/table1.xml"/><Relationship Id="rId28" Type="http://schemas.openxmlformats.org/officeDocument/2006/relationships/table" Target="../tables/table12.xml"/><Relationship Id="rId27" Type="http://schemas.openxmlformats.org/officeDocument/2006/relationships/table" Target="../tables/table11.xml"/><Relationship Id="rId19" Type="http://schemas.openxmlformats.org/officeDocument/2006/relationships/table" Target="../tables/table3.xml"/><Relationship Id="rId18" Type="http://schemas.openxmlformats.org/officeDocument/2006/relationships/table" Target="../tables/table2.xml"/><Relationship Id="rId29"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fitToPage="1"/>
  </sheetPr>
  <sheetViews>
    <sheetView workbookViewId="0"/>
  </sheetViews>
  <sheetFormatPr customHeight="1" defaultColWidth="14.43" defaultRowHeight="15.0"/>
  <cols>
    <col customWidth="1" min="1" max="1" width="3.57"/>
    <col customWidth="1" min="2" max="6" width="8.71"/>
    <col customWidth="1" min="7" max="7" width="11.71"/>
    <col customWidth="1" min="8" max="8" width="8.71"/>
    <col customWidth="1" min="9" max="9" width="12.71"/>
    <col customWidth="1" min="10" max="10" width="14.71"/>
    <col customWidth="1" min="11" max="18" width="8.71"/>
    <col customWidth="1" min="19" max="19" width="3.71"/>
    <col customWidth="1" hidden="1" min="20" max="30" width="8.71"/>
  </cols>
  <sheetData>
    <row r="1" ht="14.25" customHeight="1">
      <c r="A1" s="1"/>
      <c r="B1" s="1"/>
      <c r="C1" s="1"/>
      <c r="D1" s="2"/>
      <c r="E1" s="3"/>
      <c r="F1" s="3"/>
      <c r="G1" s="3"/>
      <c r="H1" s="3"/>
      <c r="I1" s="3"/>
      <c r="J1" s="4"/>
      <c r="K1" s="1"/>
      <c r="L1" s="1"/>
      <c r="M1" s="1"/>
      <c r="N1" s="1"/>
      <c r="O1" s="1"/>
      <c r="P1" s="1"/>
      <c r="Q1" s="1"/>
      <c r="R1" s="1"/>
      <c r="S1" s="1"/>
      <c r="T1" s="1"/>
      <c r="U1" s="1"/>
      <c r="V1" s="1"/>
      <c r="W1" s="1"/>
      <c r="X1" s="1"/>
      <c r="Y1" s="1"/>
      <c r="Z1" s="1"/>
      <c r="AA1" s="1"/>
      <c r="AB1" s="1"/>
      <c r="AC1" s="1"/>
      <c r="AD1" s="1"/>
    </row>
    <row r="2" ht="14.25" customHeight="1">
      <c r="A2" s="1"/>
      <c r="B2" s="1"/>
      <c r="C2" s="1"/>
      <c r="D2" s="5"/>
      <c r="J2" s="6"/>
      <c r="K2" s="1"/>
      <c r="L2" s="1"/>
      <c r="M2" s="1"/>
      <c r="N2" s="1"/>
      <c r="O2" s="1"/>
      <c r="P2" s="1"/>
      <c r="Q2" s="1"/>
      <c r="R2" s="1"/>
      <c r="S2" s="1"/>
      <c r="T2" s="1"/>
      <c r="U2" s="1"/>
      <c r="V2" s="1"/>
      <c r="W2" s="1"/>
      <c r="X2" s="1"/>
      <c r="Y2" s="1"/>
      <c r="Z2" s="1"/>
      <c r="AA2" s="1"/>
      <c r="AB2" s="1"/>
      <c r="AC2" s="1"/>
      <c r="AD2" s="1"/>
    </row>
    <row r="3" ht="14.25" customHeight="1">
      <c r="A3" s="1"/>
      <c r="B3" s="1"/>
      <c r="C3" s="1"/>
      <c r="D3" s="5"/>
      <c r="J3" s="6"/>
      <c r="K3" s="1"/>
      <c r="L3" s="1"/>
      <c r="M3" s="1"/>
      <c r="N3" s="1"/>
      <c r="O3" s="1"/>
      <c r="P3" s="1"/>
      <c r="Q3" s="1"/>
      <c r="R3" s="1"/>
      <c r="S3" s="1"/>
      <c r="T3" s="1"/>
      <c r="U3" s="1"/>
      <c r="V3" s="1"/>
      <c r="W3" s="1"/>
      <c r="X3" s="1"/>
      <c r="Y3" s="1"/>
      <c r="Z3" s="1"/>
      <c r="AA3" s="1"/>
      <c r="AB3" s="1"/>
      <c r="AC3" s="1"/>
      <c r="AD3" s="1"/>
    </row>
    <row r="4" ht="14.25" customHeight="1">
      <c r="A4" s="1"/>
      <c r="B4" s="1"/>
      <c r="C4" s="1"/>
      <c r="D4" s="5"/>
      <c r="J4" s="6"/>
      <c r="K4" s="1"/>
      <c r="L4" s="1"/>
      <c r="M4" s="1"/>
      <c r="N4" s="1"/>
      <c r="O4" s="1"/>
      <c r="P4" s="1"/>
      <c r="Q4" s="1"/>
      <c r="R4" s="1"/>
      <c r="S4" s="1"/>
      <c r="T4" s="1"/>
      <c r="U4" s="1"/>
      <c r="V4" s="1"/>
      <c r="W4" s="1"/>
      <c r="X4" s="1"/>
      <c r="Y4" s="1"/>
      <c r="Z4" s="1"/>
      <c r="AA4" s="1"/>
      <c r="AB4" s="1"/>
      <c r="AC4" s="1"/>
      <c r="AD4" s="1"/>
    </row>
    <row r="5" ht="14.25" customHeight="1">
      <c r="A5" s="1"/>
      <c r="B5" s="1"/>
      <c r="C5" s="1"/>
      <c r="D5" s="7"/>
      <c r="E5" s="8"/>
      <c r="F5" s="8"/>
      <c r="G5" s="8"/>
      <c r="H5" s="8"/>
      <c r="I5" s="8"/>
      <c r="J5" s="9"/>
      <c r="K5" s="1"/>
      <c r="L5" s="1"/>
      <c r="M5" s="1"/>
      <c r="N5" s="1"/>
      <c r="O5" s="1"/>
      <c r="P5" s="1"/>
      <c r="Q5" s="1"/>
      <c r="R5" s="1"/>
      <c r="S5" s="1"/>
      <c r="T5" s="1"/>
      <c r="U5" s="1"/>
      <c r="V5" s="1"/>
      <c r="W5" s="1"/>
      <c r="X5" s="1"/>
      <c r="Y5" s="1"/>
      <c r="Z5" s="1"/>
      <c r="AA5" s="1"/>
      <c r="AB5" s="1"/>
      <c r="AC5" s="1"/>
      <c r="AD5" s="1"/>
    </row>
    <row r="6" ht="14.25" customHeight="1">
      <c r="A6" s="10" t="s">
        <v>0</v>
      </c>
      <c r="B6" s="11" t="s">
        <v>1</v>
      </c>
      <c r="C6" s="3"/>
      <c r="D6" s="3"/>
      <c r="E6" s="3"/>
      <c r="F6" s="3"/>
      <c r="G6" s="3"/>
      <c r="H6" s="3"/>
      <c r="I6" s="3"/>
      <c r="J6" s="4"/>
      <c r="K6" s="1"/>
      <c r="L6" s="1"/>
      <c r="M6" s="1"/>
      <c r="N6" s="1"/>
      <c r="O6" s="1"/>
      <c r="P6" s="1"/>
      <c r="Q6" s="1"/>
      <c r="R6" s="1"/>
      <c r="S6" s="1"/>
      <c r="T6" s="1"/>
      <c r="U6" s="1"/>
      <c r="V6" s="1"/>
      <c r="W6" s="1"/>
      <c r="X6" s="1"/>
      <c r="Y6" s="1"/>
      <c r="Z6" s="1"/>
      <c r="AA6" s="1"/>
      <c r="AB6" s="1"/>
      <c r="AC6" s="1"/>
      <c r="AD6" s="1"/>
    </row>
    <row r="7" ht="14.25" customHeight="1">
      <c r="A7" s="1"/>
      <c r="B7" s="5"/>
      <c r="J7" s="6"/>
      <c r="K7" s="1"/>
      <c r="L7" s="1"/>
      <c r="M7" s="1"/>
      <c r="N7" s="1"/>
      <c r="O7" s="1"/>
      <c r="P7" s="1"/>
      <c r="Q7" s="1"/>
      <c r="R7" s="1"/>
      <c r="S7" s="1"/>
      <c r="T7" s="1"/>
      <c r="U7" s="1"/>
      <c r="V7" s="1"/>
      <c r="W7" s="1"/>
      <c r="X7" s="1"/>
      <c r="Y7" s="1"/>
      <c r="Z7" s="1"/>
      <c r="AA7" s="1"/>
      <c r="AB7" s="1"/>
      <c r="AC7" s="1"/>
      <c r="AD7" s="1"/>
    </row>
    <row r="8" ht="28.5" customHeight="1">
      <c r="A8" s="1"/>
      <c r="B8" s="7"/>
      <c r="C8" s="8"/>
      <c r="D8" s="8"/>
      <c r="E8" s="8"/>
      <c r="F8" s="8"/>
      <c r="G8" s="8"/>
      <c r="H8" s="8"/>
      <c r="I8" s="8"/>
      <c r="J8" s="9"/>
      <c r="K8" s="1"/>
      <c r="L8" s="1"/>
      <c r="M8" s="1"/>
      <c r="N8" s="1"/>
      <c r="O8" s="1"/>
      <c r="P8" s="1"/>
      <c r="Q8" s="1"/>
      <c r="R8" s="1"/>
      <c r="S8" s="1"/>
      <c r="T8" s="1"/>
      <c r="U8" s="1"/>
      <c r="V8" s="1"/>
      <c r="W8" s="1"/>
      <c r="X8" s="1"/>
      <c r="Y8" s="1"/>
      <c r="Z8" s="1"/>
      <c r="AA8" s="1"/>
      <c r="AB8" s="1"/>
      <c r="AC8" s="1"/>
      <c r="AD8" s="1"/>
    </row>
    <row r="9" ht="14.25" customHeight="1">
      <c r="A9" s="1"/>
      <c r="B9" s="12"/>
      <c r="C9" s="3"/>
      <c r="D9" s="3"/>
      <c r="E9" s="3"/>
      <c r="F9" s="3"/>
      <c r="G9" s="3"/>
      <c r="H9" s="3"/>
      <c r="I9" s="3"/>
      <c r="J9" s="4"/>
      <c r="K9" s="1"/>
      <c r="L9" s="1"/>
      <c r="M9" s="1"/>
      <c r="N9" s="1"/>
      <c r="O9" s="1"/>
      <c r="P9" s="1"/>
      <c r="Q9" s="1"/>
      <c r="R9" s="1"/>
      <c r="S9" s="1"/>
      <c r="T9" s="1"/>
      <c r="U9" s="1"/>
      <c r="V9" s="1"/>
      <c r="W9" s="1"/>
      <c r="X9" s="1"/>
      <c r="Y9" s="1"/>
      <c r="Z9" s="1"/>
      <c r="AA9" s="1"/>
      <c r="AB9" s="1"/>
      <c r="AC9" s="1"/>
      <c r="AD9" s="1"/>
    </row>
    <row r="10" ht="20.25" customHeight="1">
      <c r="A10" s="1"/>
      <c r="B10" s="7"/>
      <c r="C10" s="8"/>
      <c r="D10" s="8"/>
      <c r="E10" s="8"/>
      <c r="F10" s="8"/>
      <c r="G10" s="8"/>
      <c r="H10" s="8"/>
      <c r="I10" s="8"/>
      <c r="J10" s="9"/>
      <c r="K10" s="1"/>
      <c r="L10" s="1"/>
      <c r="M10" s="1"/>
      <c r="N10" s="1"/>
      <c r="O10" s="1"/>
      <c r="P10" s="1"/>
      <c r="Q10" s="1"/>
      <c r="R10" s="1"/>
      <c r="S10" s="1"/>
      <c r="T10" s="1"/>
      <c r="U10" s="1"/>
      <c r="V10" s="1"/>
      <c r="W10" s="1"/>
      <c r="X10" s="1"/>
      <c r="Y10" s="1"/>
      <c r="Z10" s="1"/>
      <c r="AA10" s="1"/>
      <c r="AB10" s="1"/>
      <c r="AC10" s="1"/>
      <c r="AD10" s="1"/>
    </row>
    <row r="11" ht="14.25" customHeight="1">
      <c r="A11" s="1"/>
      <c r="B11" s="13" t="s">
        <v>2</v>
      </c>
      <c r="C11" s="14"/>
      <c r="D11" s="14"/>
      <c r="E11" s="15"/>
      <c r="F11" s="16" t="s">
        <v>3</v>
      </c>
      <c r="G11" s="14"/>
      <c r="H11" s="14"/>
      <c r="I11" s="14"/>
      <c r="J11" s="15"/>
      <c r="K11" s="1"/>
      <c r="L11" s="1"/>
      <c r="M11" s="1"/>
      <c r="N11" s="1"/>
      <c r="O11" s="1"/>
      <c r="P11" s="1"/>
      <c r="Q11" s="1"/>
      <c r="R11" s="1"/>
      <c r="S11" s="1"/>
      <c r="T11" s="1"/>
      <c r="U11" s="1"/>
      <c r="V11" s="1"/>
      <c r="W11" s="1"/>
      <c r="X11" s="1"/>
      <c r="Y11" s="1"/>
      <c r="Z11" s="1"/>
      <c r="AA11" s="1"/>
      <c r="AB11" s="1"/>
      <c r="AC11" s="1"/>
      <c r="AD11" s="1"/>
    </row>
    <row r="12" ht="14.25" customHeight="1">
      <c r="A12" s="1"/>
      <c r="B12" s="17"/>
      <c r="C12" s="14"/>
      <c r="D12" s="14"/>
      <c r="E12" s="14"/>
      <c r="F12" s="14"/>
      <c r="G12" s="14"/>
      <c r="H12" s="14"/>
      <c r="I12" s="14"/>
      <c r="J12" s="15"/>
      <c r="K12" s="1"/>
      <c r="L12" s="1"/>
      <c r="M12" s="1"/>
      <c r="N12" s="1"/>
      <c r="O12" s="1"/>
      <c r="P12" s="1"/>
      <c r="Q12" s="1"/>
      <c r="R12" s="1"/>
      <c r="S12" s="1"/>
      <c r="T12" s="1"/>
      <c r="U12" s="1"/>
      <c r="V12" s="1"/>
      <c r="W12" s="1"/>
      <c r="X12" s="1"/>
      <c r="Y12" s="1"/>
      <c r="Z12" s="1"/>
      <c r="AA12" s="1"/>
      <c r="AB12" s="1"/>
      <c r="AC12" s="1"/>
      <c r="AD12" s="1"/>
    </row>
    <row r="13"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ht="14.25" customHeight="1">
      <c r="A14" s="1"/>
      <c r="B14" s="18"/>
      <c r="C14" s="19"/>
      <c r="D14" s="3"/>
      <c r="E14" s="3"/>
      <c r="F14" s="3"/>
      <c r="G14" s="3"/>
      <c r="H14" s="3"/>
      <c r="I14" s="3"/>
      <c r="J14" s="4"/>
      <c r="K14" s="1"/>
      <c r="L14" s="1"/>
      <c r="M14" s="1"/>
      <c r="N14" s="1"/>
      <c r="O14" s="1"/>
      <c r="P14" s="1"/>
      <c r="Q14" s="1"/>
      <c r="R14" s="1"/>
      <c r="S14" s="1"/>
      <c r="T14" s="1"/>
      <c r="U14" s="1"/>
      <c r="V14" s="1"/>
      <c r="W14" s="1"/>
      <c r="X14" s="1"/>
      <c r="Y14" s="1"/>
      <c r="Z14" s="1"/>
      <c r="AA14" s="1"/>
      <c r="AB14" s="1"/>
      <c r="AC14" s="1"/>
      <c r="AD14" s="1"/>
    </row>
    <row r="15" ht="81.0" customHeight="1">
      <c r="A15" s="1"/>
      <c r="B15" s="20"/>
      <c r="C15" s="7"/>
      <c r="D15" s="8"/>
      <c r="E15" s="8"/>
      <c r="F15" s="8"/>
      <c r="G15" s="8"/>
      <c r="H15" s="8"/>
      <c r="I15" s="8"/>
      <c r="J15" s="9"/>
      <c r="K15" s="1"/>
      <c r="L15" s="1"/>
      <c r="M15" s="1"/>
      <c r="N15" s="1"/>
      <c r="O15" s="1"/>
      <c r="P15" s="1"/>
      <c r="Q15" s="1"/>
      <c r="R15" s="1"/>
      <c r="S15" s="1"/>
      <c r="T15" s="1"/>
      <c r="U15" s="1"/>
      <c r="V15" s="1"/>
      <c r="W15" s="1"/>
      <c r="X15" s="1"/>
      <c r="Y15" s="1"/>
      <c r="Z15" s="1"/>
      <c r="AA15" s="1"/>
      <c r="AB15" s="1"/>
      <c r="AC15" s="1"/>
      <c r="AD15" s="1"/>
    </row>
    <row r="16" ht="21.0" customHeight="1">
      <c r="A16" s="1"/>
      <c r="B16" s="2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ht="14.25" customHeight="1">
      <c r="A17" s="1"/>
      <c r="B17" s="22" t="s">
        <v>4</v>
      </c>
      <c r="C17" s="14"/>
      <c r="D17" s="14"/>
      <c r="E17" s="14"/>
      <c r="F17" s="14"/>
      <c r="G17" s="14"/>
      <c r="H17" s="15"/>
      <c r="I17" s="1"/>
      <c r="J17" s="1"/>
      <c r="K17" s="1"/>
      <c r="L17" s="1"/>
      <c r="M17" s="1"/>
      <c r="N17" s="1"/>
      <c r="O17" s="1"/>
      <c r="P17" s="1"/>
      <c r="Q17" s="1"/>
      <c r="R17" s="1"/>
      <c r="S17" s="1"/>
      <c r="T17" s="1"/>
      <c r="U17" s="1"/>
      <c r="V17" s="1"/>
      <c r="W17" s="1"/>
      <c r="X17" s="1"/>
      <c r="Y17" s="1"/>
      <c r="Z17" s="1"/>
      <c r="AA17" s="1"/>
      <c r="AB17" s="1"/>
      <c r="AC17" s="1"/>
      <c r="AD17" s="1"/>
    </row>
    <row r="18"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ht="14.25" customHeight="1">
      <c r="A19" s="1"/>
      <c r="B19" s="23"/>
      <c r="C19" s="24"/>
      <c r="D19" s="25" t="s">
        <v>5</v>
      </c>
      <c r="E19" s="26"/>
      <c r="F19" s="26"/>
      <c r="G19" s="26"/>
      <c r="H19" s="27"/>
      <c r="I19" s="1"/>
      <c r="J19" s="1"/>
      <c r="K19" s="1"/>
      <c r="L19" s="1"/>
      <c r="M19" s="1"/>
      <c r="N19" s="1"/>
      <c r="O19" s="1"/>
      <c r="P19" s="1"/>
      <c r="Q19" s="1"/>
      <c r="R19" s="1"/>
      <c r="S19" s="1"/>
      <c r="T19" s="1"/>
      <c r="U19" s="1"/>
      <c r="V19" s="1"/>
      <c r="W19" s="1"/>
      <c r="X19" s="1"/>
      <c r="Y19" s="1"/>
      <c r="Z19" s="1"/>
      <c r="AA19" s="1"/>
      <c r="AB19" s="1"/>
      <c r="AC19" s="1"/>
      <c r="AD19" s="1"/>
    </row>
    <row r="20" ht="15.0" customHeight="1">
      <c r="A20" s="1"/>
      <c r="B20" s="28"/>
      <c r="C20" s="29"/>
      <c r="D20" s="30"/>
      <c r="E20" s="31"/>
      <c r="F20" s="31"/>
      <c r="G20" s="31"/>
      <c r="H20" s="32"/>
      <c r="I20" s="1"/>
      <c r="J20" s="1"/>
      <c r="K20" s="1"/>
      <c r="L20" s="1"/>
      <c r="M20" s="1"/>
      <c r="N20" s="1"/>
      <c r="O20" s="1"/>
      <c r="P20" s="1"/>
      <c r="Q20" s="1"/>
      <c r="R20" s="1"/>
      <c r="S20" s="1"/>
      <c r="T20" s="1"/>
      <c r="U20" s="1"/>
      <c r="V20" s="1"/>
      <c r="W20" s="1"/>
      <c r="X20" s="1"/>
      <c r="Y20" s="1"/>
      <c r="Z20" s="1"/>
      <c r="AA20" s="1"/>
      <c r="AB20" s="1"/>
      <c r="AC20" s="1"/>
      <c r="AD20" s="1"/>
    </row>
    <row r="21" ht="14.25" customHeight="1">
      <c r="A21" s="1"/>
      <c r="B21" s="33"/>
      <c r="C21" s="34"/>
      <c r="D21" s="35" t="s">
        <v>6</v>
      </c>
      <c r="E21" s="36"/>
      <c r="F21" s="36"/>
      <c r="G21" s="36"/>
      <c r="H21" s="37"/>
      <c r="I21" s="1"/>
      <c r="J21" s="1"/>
      <c r="K21" s="1"/>
      <c r="L21" s="1"/>
      <c r="M21" s="1"/>
      <c r="N21" s="1"/>
      <c r="O21" s="1"/>
      <c r="P21" s="1"/>
      <c r="Q21" s="1"/>
      <c r="R21" s="1"/>
      <c r="S21" s="1"/>
      <c r="T21" s="1"/>
      <c r="U21" s="1"/>
      <c r="V21" s="1"/>
      <c r="W21" s="1"/>
      <c r="X21" s="1"/>
      <c r="Y21" s="1"/>
      <c r="Z21" s="1"/>
      <c r="AA21" s="1"/>
      <c r="AB21" s="1"/>
      <c r="AC21" s="1"/>
      <c r="AD21" s="1"/>
    </row>
    <row r="22" ht="14.25" customHeight="1">
      <c r="A22" s="1"/>
      <c r="B22" s="28"/>
      <c r="C22" s="29"/>
      <c r="D22" s="30"/>
      <c r="E22" s="31"/>
      <c r="F22" s="31"/>
      <c r="G22" s="31"/>
      <c r="H22" s="32"/>
      <c r="I22" s="1"/>
      <c r="J22" s="1"/>
      <c r="K22" s="1"/>
      <c r="L22" s="1"/>
      <c r="M22" s="1"/>
      <c r="N22" s="1"/>
      <c r="O22" s="1"/>
      <c r="P22" s="1"/>
      <c r="Q22" s="1"/>
      <c r="R22" s="1"/>
      <c r="S22" s="1"/>
      <c r="T22" s="1"/>
      <c r="U22" s="1"/>
      <c r="V22" s="1"/>
      <c r="W22" s="1"/>
      <c r="X22" s="1"/>
      <c r="Y22" s="1"/>
      <c r="Z22" s="1"/>
      <c r="AA22" s="1"/>
      <c r="AB22" s="1"/>
      <c r="AC22" s="1"/>
      <c r="AD22" s="1"/>
    </row>
    <row r="23" ht="14.25" customHeight="1">
      <c r="A23" s="1"/>
      <c r="B23" s="38"/>
      <c r="C23" s="34"/>
      <c r="D23" s="35" t="s">
        <v>7</v>
      </c>
      <c r="E23" s="36"/>
      <c r="F23" s="36"/>
      <c r="G23" s="36"/>
      <c r="H23" s="37"/>
      <c r="I23" s="1"/>
      <c r="J23" s="1"/>
      <c r="K23" s="1"/>
      <c r="L23" s="1"/>
      <c r="M23" s="1"/>
      <c r="N23" s="1"/>
      <c r="O23" s="1"/>
      <c r="P23" s="1"/>
      <c r="Q23" s="1"/>
      <c r="R23" s="1"/>
      <c r="S23" s="1"/>
      <c r="T23" s="1"/>
      <c r="U23" s="1"/>
      <c r="V23" s="1"/>
      <c r="W23" s="1"/>
      <c r="X23" s="1"/>
      <c r="Y23" s="1"/>
      <c r="Z23" s="1"/>
      <c r="AA23" s="1"/>
      <c r="AB23" s="1"/>
      <c r="AC23" s="1"/>
      <c r="AD23" s="1"/>
    </row>
    <row r="24" ht="14.25" customHeight="1">
      <c r="A24" s="1"/>
      <c r="B24" s="28"/>
      <c r="C24" s="29"/>
      <c r="D24" s="30"/>
      <c r="E24" s="31"/>
      <c r="F24" s="31"/>
      <c r="G24" s="31"/>
      <c r="H24" s="32"/>
      <c r="I24" s="1"/>
      <c r="J24" s="1"/>
      <c r="K24" s="1"/>
      <c r="L24" s="1"/>
      <c r="M24" s="1"/>
      <c r="N24" s="1"/>
      <c r="O24" s="1"/>
      <c r="P24" s="1"/>
      <c r="Q24" s="1"/>
      <c r="R24" s="1"/>
      <c r="S24" s="1"/>
      <c r="T24" s="1"/>
      <c r="U24" s="1"/>
      <c r="V24" s="1"/>
      <c r="W24" s="1"/>
      <c r="X24" s="1"/>
      <c r="Y24" s="1"/>
      <c r="Z24" s="1"/>
      <c r="AA24" s="1"/>
      <c r="AB24" s="1"/>
      <c r="AC24" s="1"/>
      <c r="AD24" s="1"/>
    </row>
    <row r="25" ht="27.75" customHeight="1">
      <c r="A25" s="1"/>
      <c r="B25" s="39"/>
      <c r="C25" s="40"/>
      <c r="D25" s="41" t="s">
        <v>8</v>
      </c>
      <c r="E25" s="42"/>
      <c r="F25" s="42"/>
      <c r="G25" s="42"/>
      <c r="H25" s="43"/>
      <c r="I25" s="1"/>
      <c r="J25" s="1"/>
      <c r="K25" s="1"/>
      <c r="L25" s="1"/>
      <c r="M25" s="1"/>
      <c r="N25" s="1"/>
      <c r="O25" s="1"/>
      <c r="P25" s="1"/>
      <c r="Q25" s="1"/>
      <c r="R25" s="1"/>
      <c r="S25" s="1"/>
      <c r="T25" s="1"/>
      <c r="U25" s="1"/>
      <c r="V25" s="1"/>
      <c r="W25" s="1"/>
      <c r="X25" s="1"/>
      <c r="Y25" s="1"/>
      <c r="Z25" s="1"/>
      <c r="AA25" s="1"/>
      <c r="AB25" s="1"/>
      <c r="AC25" s="1"/>
      <c r="AD25" s="1"/>
    </row>
    <row r="26" ht="31.5" customHeight="1">
      <c r="A26" s="1"/>
      <c r="B26" s="44"/>
      <c r="C26" s="45"/>
      <c r="D26" s="41" t="s">
        <v>9</v>
      </c>
      <c r="E26" s="42"/>
      <c r="F26" s="42"/>
      <c r="G26" s="42"/>
      <c r="H26" s="43"/>
      <c r="I26" s="1"/>
      <c r="J26" s="1"/>
      <c r="K26" s="1"/>
      <c r="L26" s="1"/>
      <c r="M26" s="1"/>
      <c r="N26" s="1"/>
      <c r="O26" s="1"/>
      <c r="P26" s="1"/>
      <c r="Q26" s="1"/>
      <c r="R26" s="1"/>
      <c r="S26" s="1"/>
      <c r="T26" s="1"/>
      <c r="U26" s="1"/>
      <c r="V26" s="1"/>
      <c r="W26" s="1"/>
      <c r="X26" s="1"/>
      <c r="Y26" s="1"/>
      <c r="Z26" s="1"/>
      <c r="AA26" s="1"/>
      <c r="AB26" s="1"/>
      <c r="AC26" s="1"/>
      <c r="AD26" s="1"/>
    </row>
    <row r="27" ht="27.0" customHeight="1">
      <c r="A27" s="1"/>
      <c r="B27" s="46" t="s">
        <v>10</v>
      </c>
      <c r="C27" s="47"/>
      <c r="D27" s="41" t="s">
        <v>11</v>
      </c>
      <c r="E27" s="42"/>
      <c r="F27" s="42"/>
      <c r="G27" s="42"/>
      <c r="H27" s="43"/>
      <c r="I27" s="1"/>
      <c r="J27" s="1"/>
      <c r="K27" s="1"/>
      <c r="L27" s="1"/>
      <c r="M27" s="1"/>
      <c r="N27" s="1"/>
      <c r="O27" s="1"/>
      <c r="P27" s="1"/>
      <c r="Q27" s="1"/>
      <c r="R27" s="1"/>
      <c r="S27" s="1"/>
      <c r="T27" s="1"/>
      <c r="U27" s="1"/>
      <c r="V27" s="1"/>
      <c r="W27" s="1"/>
      <c r="X27" s="1"/>
      <c r="Y27" s="1"/>
      <c r="Z27" s="1"/>
      <c r="AA27" s="1"/>
      <c r="AB27" s="1"/>
      <c r="AC27" s="1"/>
      <c r="AD27" s="1"/>
    </row>
    <row r="28" ht="24.0" customHeight="1">
      <c r="A28" s="1"/>
      <c r="B28" s="48" t="s">
        <v>12</v>
      </c>
      <c r="C28" s="47"/>
      <c r="D28" s="41" t="s">
        <v>13</v>
      </c>
      <c r="E28" s="42"/>
      <c r="F28" s="42"/>
      <c r="G28" s="42"/>
      <c r="H28" s="43"/>
      <c r="I28" s="1"/>
      <c r="J28" s="49" t="s">
        <v>14</v>
      </c>
      <c r="K28" s="14"/>
      <c r="L28" s="14"/>
      <c r="M28" s="14"/>
      <c r="N28" s="14"/>
      <c r="O28" s="14"/>
      <c r="P28" s="14"/>
      <c r="Q28" s="14"/>
      <c r="R28" s="15"/>
      <c r="S28" s="1"/>
      <c r="T28" s="1"/>
      <c r="U28" s="1"/>
      <c r="V28" s="1"/>
      <c r="W28" s="1"/>
      <c r="X28" s="1"/>
      <c r="Y28" s="1"/>
      <c r="Z28" s="1"/>
      <c r="AA28" s="1"/>
      <c r="AB28" s="1"/>
      <c r="AC28" s="1"/>
      <c r="AD28" s="1"/>
    </row>
    <row r="29" ht="24.0" customHeight="1">
      <c r="A29" s="1"/>
      <c r="B29" s="50"/>
      <c r="C29" s="51"/>
      <c r="D29" s="52" t="s">
        <v>15</v>
      </c>
      <c r="E29" s="53"/>
      <c r="F29" s="53"/>
      <c r="G29" s="53"/>
      <c r="H29" s="54"/>
      <c r="I29" s="1"/>
      <c r="J29" s="1"/>
      <c r="K29" s="1"/>
      <c r="L29" s="1"/>
      <c r="M29" s="1"/>
      <c r="N29" s="1"/>
      <c r="O29" s="1"/>
      <c r="P29" s="1"/>
      <c r="Q29" s="1"/>
      <c r="R29" s="1"/>
      <c r="S29" s="1"/>
      <c r="T29" s="1"/>
      <c r="U29" s="1"/>
      <c r="V29" s="1"/>
      <c r="W29" s="1"/>
      <c r="X29" s="1"/>
      <c r="Y29" s="1"/>
      <c r="Z29" s="1"/>
      <c r="AA29" s="1"/>
      <c r="AB29" s="1"/>
      <c r="AC29" s="1"/>
      <c r="AD29" s="1"/>
    </row>
    <row r="30" ht="27.0"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ht="21.0"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ht="15.0"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ht="15.0"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ht="14.25" hidden="1"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ht="14.25" hidden="1"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ht="14.25" hidden="1"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ht="14.25" hidden="1"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ht="14.25" hidden="1"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ht="14.25" hidden="1"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row r="43" ht="14.25" hidden="1"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row>
    <row r="44" ht="14.25" hidden="1"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row>
    <row r="45" ht="14.25" hidden="1"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ht="14.25" hidden="1"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ht="14.25" hidden="1"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row>
    <row r="48" ht="14.25" hidden="1"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row>
    <row r="49" ht="14.25" hidden="1"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ht="14.25" hidden="1"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ht="14.25" hidden="1"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row>
    <row r="52" ht="14.25" hidden="1"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ht="14.25" hidden="1"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row>
    <row r="54" ht="14.25" hidden="1"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row>
    <row r="55" ht="14.25" hidden="1"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row>
    <row r="56" ht="14.25" hidden="1"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ht="14.25" hidden="1"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ht="14.25" hidden="1"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ht="14.25" hidden="1"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ht="14.25" hidden="1"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ht="14.25" hidden="1"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ht="14.25" hidden="1"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ht="14.25" hidden="1"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row>
    <row r="64" ht="14.25" hidden="1"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ht="14.25" hidden="1"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ht="14.25" hidden="1"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ht="14.25" hidden="1"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ht="14.25" hidden="1"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ht="14.25" hidden="1"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ht="14.25" hidden="1"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ht="14.25" hidden="1"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ht="14.25" hidden="1"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ht="14.25" hidden="1"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ht="14.25" hidden="1"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ht="14.25" hidden="1"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ht="14.25" hidden="1"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ht="14.25" hidden="1"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ht="14.25" hidden="1"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ht="14.25" hidden="1"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ht="14.25" hidden="1"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ht="14.25" hidden="1"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row>
    <row r="82" ht="14.25" hidden="1"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row>
    <row r="83" ht="14.25" hidden="1"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row>
    <row r="84" ht="14.25" hidden="1"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ht="14.25" hidden="1"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ht="14.25" hidden="1"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row>
    <row r="87" ht="14.25" hidden="1"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row>
    <row r="88" ht="14.25" hidden="1"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row>
    <row r="89" ht="14.25" hidden="1"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ht="14.25" hidden="1"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ht="14.25" hidden="1"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ht="14.25" hidden="1"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93" ht="14.25" hidden="1"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row>
    <row r="94" ht="14.25" hidden="1"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row>
    <row r="95" ht="14.25" customHeight="1"/>
    <row r="96" ht="14.25" customHeight="1"/>
    <row r="97" ht="14.25" hidden="1" customHeight="1"/>
    <row r="98" ht="14.25" hidden="1" customHeight="1"/>
    <row r="99" ht="14.25" hidden="1" customHeight="1"/>
    <row r="100" ht="14.25" hidden="1" customHeight="1"/>
    <row r="101" ht="14.25" hidden="1" customHeight="1"/>
    <row r="102" ht="14.25" hidden="1" customHeight="1"/>
    <row r="103" ht="14.25" hidden="1" customHeight="1"/>
    <row r="104" ht="14.25" hidden="1" customHeight="1"/>
    <row r="105" ht="14.25" hidden="1" customHeight="1"/>
    <row r="106" ht="14.25" hidden="1" customHeight="1"/>
    <row r="107" ht="14.25" hidden="1" customHeight="1"/>
    <row r="108" ht="14.25" hidden="1" customHeight="1"/>
    <row r="109" ht="14.25" hidden="1" customHeight="1"/>
    <row r="110" ht="14.25" hidden="1" customHeight="1"/>
    <row r="111" ht="14.25" hidden="1" customHeight="1"/>
    <row r="112" ht="14.25" hidden="1" customHeight="1"/>
    <row r="113" ht="14.25" hidden="1" customHeight="1"/>
    <row r="114" ht="14.25" hidden="1" customHeight="1"/>
    <row r="115" ht="14.25" hidden="1" customHeight="1"/>
    <row r="116" ht="14.25" hidden="1" customHeight="1"/>
    <row r="117" ht="14.25" hidden="1" customHeight="1"/>
    <row r="118" ht="14.25" hidden="1" customHeight="1"/>
    <row r="119" ht="14.25" hidden="1" customHeight="1"/>
    <row r="120" ht="14.25" hidden="1" customHeight="1"/>
    <row r="121" ht="14.25" hidden="1" customHeight="1"/>
    <row r="122" ht="14.25" hidden="1" customHeight="1"/>
    <row r="123" ht="14.25" hidden="1" customHeight="1"/>
    <row r="124" ht="14.25" hidden="1" customHeight="1"/>
    <row r="125" ht="14.25" hidden="1" customHeight="1"/>
    <row r="126" ht="14.25" hidden="1" customHeight="1"/>
    <row r="127" ht="14.25" hidden="1" customHeight="1"/>
    <row r="128" ht="14.25" hidden="1" customHeight="1"/>
    <row r="129" ht="14.25" hidden="1" customHeight="1"/>
    <row r="130" ht="14.25" hidden="1"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4">
    <mergeCell ref="D1:J5"/>
    <mergeCell ref="B6:J8"/>
    <mergeCell ref="B9:J10"/>
    <mergeCell ref="B11:E11"/>
    <mergeCell ref="F11:J11"/>
    <mergeCell ref="B12:J12"/>
    <mergeCell ref="B14:B15"/>
    <mergeCell ref="C14:J15"/>
    <mergeCell ref="B17:H17"/>
    <mergeCell ref="B19:C20"/>
    <mergeCell ref="D19:H20"/>
    <mergeCell ref="B21:C22"/>
    <mergeCell ref="D21:H22"/>
    <mergeCell ref="B23:C24"/>
    <mergeCell ref="B28:C28"/>
    <mergeCell ref="B29:C29"/>
    <mergeCell ref="D29:H29"/>
    <mergeCell ref="D23:H24"/>
    <mergeCell ref="D25:H25"/>
    <mergeCell ref="D26:H26"/>
    <mergeCell ref="B27:C27"/>
    <mergeCell ref="D27:H27"/>
    <mergeCell ref="D28:H28"/>
    <mergeCell ref="J28:R28"/>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fitToPage="1"/>
  </sheetPr>
  <sheetViews>
    <sheetView workbookViewId="0"/>
  </sheetViews>
  <sheetFormatPr customHeight="1" defaultColWidth="14.43" defaultRowHeight="15.0"/>
  <cols>
    <col customWidth="1" min="1" max="1" width="4.57"/>
    <col customWidth="1" min="2" max="3" width="39.29"/>
    <col customWidth="1" min="4" max="4" width="70.71"/>
    <col customWidth="1" min="5" max="5" width="6.0"/>
    <col customWidth="1" min="6" max="6" width="13.71"/>
    <col customWidth="1" min="7" max="26" width="8.71"/>
  </cols>
  <sheetData>
    <row r="1">
      <c r="A1" s="1"/>
      <c r="B1" s="1"/>
      <c r="C1" s="1"/>
      <c r="D1" s="1"/>
      <c r="E1" s="1"/>
      <c r="F1" s="1"/>
      <c r="G1" s="1"/>
      <c r="H1" s="1"/>
      <c r="I1" s="1"/>
      <c r="J1" s="1"/>
      <c r="K1" s="1"/>
    </row>
    <row r="2" ht="32.25" customHeight="1">
      <c r="A2" s="1"/>
      <c r="B2" s="55" t="s">
        <v>16</v>
      </c>
      <c r="C2" s="56"/>
      <c r="D2" s="57" t="s">
        <v>17</v>
      </c>
      <c r="E2" s="58"/>
      <c r="F2" s="1"/>
      <c r="G2" s="1"/>
      <c r="H2" s="1"/>
      <c r="I2" s="1"/>
      <c r="J2" s="1"/>
      <c r="K2" s="1"/>
    </row>
    <row r="3" ht="42.0" customHeight="1">
      <c r="A3" s="1"/>
      <c r="B3" s="59" t="s">
        <v>18</v>
      </c>
      <c r="C3" s="60"/>
      <c r="D3" s="61"/>
      <c r="E3" s="1"/>
      <c r="F3" s="1"/>
      <c r="G3" s="1"/>
      <c r="H3" s="1"/>
      <c r="I3" s="1"/>
      <c r="J3" s="1"/>
      <c r="K3" s="1"/>
    </row>
    <row r="4" ht="42.0" customHeight="1">
      <c r="A4" s="1"/>
      <c r="B4" s="62" t="s">
        <v>19</v>
      </c>
      <c r="C4" s="43"/>
      <c r="D4" s="63" t="s">
        <v>20</v>
      </c>
      <c r="E4" s="1"/>
      <c r="F4" s="1"/>
      <c r="G4" s="1"/>
      <c r="H4" s="1"/>
      <c r="I4" s="1"/>
      <c r="J4" s="1"/>
      <c r="K4" s="1"/>
    </row>
    <row r="5" ht="42.0" customHeight="1">
      <c r="A5" s="1"/>
      <c r="B5" s="62" t="s">
        <v>21</v>
      </c>
      <c r="C5" s="43"/>
      <c r="D5" s="64" t="s">
        <v>22</v>
      </c>
      <c r="E5" s="1"/>
      <c r="F5" s="1"/>
      <c r="G5" s="1"/>
      <c r="H5" s="1"/>
      <c r="I5" s="1"/>
      <c r="J5" s="1"/>
      <c r="K5" s="1"/>
    </row>
    <row r="6" ht="42.0" customHeight="1">
      <c r="A6" s="1"/>
      <c r="B6" s="62" t="s">
        <v>23</v>
      </c>
      <c r="C6" s="43"/>
      <c r="D6" s="63"/>
      <c r="E6" s="1"/>
      <c r="F6" s="1"/>
      <c r="G6" s="1"/>
      <c r="H6" s="1"/>
      <c r="I6" s="1"/>
      <c r="J6" s="1"/>
      <c r="K6" s="1"/>
    </row>
    <row r="7" ht="42.0" customHeight="1">
      <c r="A7" s="1"/>
      <c r="B7" s="62" t="s">
        <v>24</v>
      </c>
      <c r="C7" s="43"/>
      <c r="D7" s="63"/>
      <c r="E7" s="1"/>
      <c r="F7" s="1"/>
      <c r="G7" s="1"/>
      <c r="H7" s="1"/>
      <c r="I7" s="1"/>
      <c r="J7" s="1"/>
      <c r="K7" s="1"/>
    </row>
    <row r="8" ht="42.0" customHeight="1">
      <c r="A8" s="1"/>
      <c r="B8" s="62" t="s">
        <v>25</v>
      </c>
      <c r="C8" s="43"/>
      <c r="D8" s="63" t="s">
        <v>26</v>
      </c>
      <c r="E8" s="1"/>
      <c r="F8" s="1"/>
      <c r="G8" s="1"/>
      <c r="H8" s="1"/>
      <c r="I8" s="1"/>
      <c r="J8" s="1"/>
      <c r="K8" s="1"/>
    </row>
    <row r="9" ht="42.0" customHeight="1">
      <c r="A9" s="1"/>
      <c r="B9" s="62" t="s">
        <v>27</v>
      </c>
      <c r="C9" s="43"/>
      <c r="D9" s="65">
        <v>46216.0</v>
      </c>
      <c r="E9" s="1"/>
      <c r="F9" s="1"/>
      <c r="G9" s="1"/>
      <c r="H9" s="1"/>
      <c r="I9" s="1"/>
      <c r="J9" s="1"/>
      <c r="K9" s="1"/>
    </row>
    <row r="10" ht="42.0" customHeight="1">
      <c r="A10" s="1"/>
      <c r="B10" s="62" t="s">
        <v>28</v>
      </c>
      <c r="C10" s="43"/>
      <c r="D10" s="63">
        <v>1.0</v>
      </c>
      <c r="E10" s="1"/>
      <c r="F10" s="1"/>
      <c r="G10" s="1"/>
      <c r="H10" s="1"/>
      <c r="I10" s="1"/>
      <c r="J10" s="1"/>
      <c r="K10" s="1"/>
    </row>
    <row r="11" ht="42.0" customHeight="1">
      <c r="A11" s="1"/>
      <c r="B11" s="66" t="s">
        <v>29</v>
      </c>
      <c r="C11" s="54"/>
      <c r="D11" s="67"/>
      <c r="E11" s="1"/>
      <c r="F11" s="1"/>
      <c r="G11" s="1"/>
      <c r="H11" s="1"/>
      <c r="I11" s="1"/>
      <c r="J11" s="1"/>
      <c r="K11" s="1"/>
    </row>
    <row r="12" ht="42.0" customHeight="1">
      <c r="A12" s="1"/>
      <c r="B12" s="68" t="s">
        <v>30</v>
      </c>
      <c r="C12" s="69"/>
      <c r="D12" s="70"/>
      <c r="E12" s="1"/>
      <c r="F12" s="1"/>
      <c r="G12" s="1"/>
      <c r="H12" s="1"/>
      <c r="I12" s="1"/>
      <c r="J12" s="1"/>
      <c r="K12" s="1"/>
    </row>
    <row r="13" ht="42.0" customHeight="1">
      <c r="A13" s="1"/>
      <c r="B13" s="71" t="s">
        <v>31</v>
      </c>
      <c r="C13" s="72" t="s">
        <v>32</v>
      </c>
      <c r="D13" s="73">
        <v>10.0</v>
      </c>
      <c r="E13" s="74" t="str">
        <f t="shared" ref="E13:E15" si="1">IF(D13&lt;10,"Caution - % target reduced below default ▲",IF(D13&gt;10,"Caution -Target increased above default ⚠",""))</f>
        <v/>
      </c>
      <c r="F13" s="14"/>
      <c r="G13" s="14"/>
      <c r="H13" s="14"/>
      <c r="I13" s="15"/>
      <c r="J13" s="75"/>
      <c r="K13" s="1"/>
    </row>
    <row r="14" ht="42.0" customHeight="1">
      <c r="A14" s="1"/>
      <c r="B14" s="76"/>
      <c r="C14" s="77" t="s">
        <v>33</v>
      </c>
      <c r="D14" s="78">
        <v>10.0</v>
      </c>
      <c r="E14" s="74" t="str">
        <f t="shared" si="1"/>
        <v/>
      </c>
      <c r="F14" s="14"/>
      <c r="G14" s="14"/>
      <c r="H14" s="14"/>
      <c r="I14" s="15"/>
      <c r="J14" s="1"/>
      <c r="K14" s="1"/>
    </row>
    <row r="15" ht="42.0" customHeight="1">
      <c r="A15" s="1"/>
      <c r="B15" s="79"/>
      <c r="C15" s="80" t="s">
        <v>34</v>
      </c>
      <c r="D15" s="81">
        <v>10.0</v>
      </c>
      <c r="E15" s="74" t="str">
        <f t="shared" si="1"/>
        <v/>
      </c>
      <c r="F15" s="14"/>
      <c r="G15" s="14"/>
      <c r="H15" s="14"/>
      <c r="I15" s="15"/>
      <c r="J15" s="1"/>
      <c r="K15" s="1"/>
    </row>
    <row r="16" ht="36.0" customHeight="1">
      <c r="A16" s="1"/>
      <c r="B16" s="82"/>
      <c r="C16" s="82"/>
      <c r="D16" s="83"/>
      <c r="E16" s="1"/>
      <c r="F16" s="1"/>
      <c r="G16" s="1"/>
      <c r="H16" s="1"/>
      <c r="I16" s="1"/>
      <c r="J16" s="1"/>
      <c r="K16" s="1"/>
    </row>
    <row r="17" ht="40.5" customHeight="1">
      <c r="A17" s="1"/>
      <c r="B17" s="71" t="s">
        <v>35</v>
      </c>
      <c r="C17" s="72" t="s">
        <v>36</v>
      </c>
      <c r="D17" s="73">
        <v>0.0</v>
      </c>
      <c r="E17" s="84" t="str">
        <f t="shared" ref="E17:E19" si="2">IF(D17=0,"","Unit increase Targets must be agreed with LPA ⚠")</f>
        <v/>
      </c>
      <c r="F17" s="14"/>
      <c r="G17" s="14"/>
      <c r="H17" s="14"/>
      <c r="I17" s="15"/>
      <c r="J17" s="1"/>
      <c r="K17" s="1"/>
    </row>
    <row r="18" ht="40.5" customHeight="1">
      <c r="A18" s="1"/>
      <c r="B18" s="76"/>
      <c r="C18" s="77" t="s">
        <v>37</v>
      </c>
      <c r="D18" s="78">
        <v>0.0</v>
      </c>
      <c r="E18" s="84" t="str">
        <f t="shared" si="2"/>
        <v/>
      </c>
      <c r="F18" s="14"/>
      <c r="G18" s="14"/>
      <c r="H18" s="14"/>
      <c r="I18" s="15"/>
      <c r="J18" s="1"/>
      <c r="K18" s="1"/>
    </row>
    <row r="19" ht="40.5" customHeight="1">
      <c r="A19" s="1"/>
      <c r="B19" s="79"/>
      <c r="C19" s="80" t="s">
        <v>38</v>
      </c>
      <c r="D19" s="81">
        <v>0.0</v>
      </c>
      <c r="E19" s="84" t="str">
        <f t="shared" si="2"/>
        <v/>
      </c>
      <c r="F19" s="14"/>
      <c r="G19" s="14"/>
      <c r="H19" s="14"/>
      <c r="I19" s="15"/>
      <c r="J19" s="1"/>
      <c r="K19" s="1"/>
    </row>
    <row r="20" ht="23.25" customHeight="1">
      <c r="A20" s="1"/>
      <c r="B20" s="1"/>
      <c r="C20" s="1"/>
      <c r="D20" s="1"/>
      <c r="E20" s="82"/>
      <c r="F20" s="82"/>
      <c r="G20" s="82"/>
      <c r="H20" s="82"/>
      <c r="I20" s="82"/>
      <c r="J20" s="1"/>
      <c r="K20" s="1"/>
    </row>
    <row r="21" ht="33.75" customHeight="1">
      <c r="A21" s="1"/>
      <c r="B21" s="85" t="s">
        <v>39</v>
      </c>
      <c r="C21" s="14"/>
      <c r="D21" s="15"/>
      <c r="E21" s="82"/>
      <c r="F21" s="82"/>
      <c r="G21" s="82"/>
      <c r="H21" s="82"/>
      <c r="I21" s="82"/>
      <c r="J21" s="1"/>
      <c r="K21" s="1"/>
    </row>
    <row r="22" ht="40.5" customHeight="1">
      <c r="A22" s="1"/>
      <c r="B22" s="59" t="s">
        <v>40</v>
      </c>
      <c r="C22" s="60"/>
      <c r="D22" s="61"/>
      <c r="E22" s="82"/>
      <c r="F22" s="82"/>
      <c r="G22" s="82"/>
      <c r="H22" s="82"/>
      <c r="I22" s="82"/>
      <c r="J22" s="1"/>
      <c r="K22" s="1"/>
    </row>
    <row r="23" ht="40.5" customHeight="1">
      <c r="A23" s="1"/>
      <c r="B23" s="66" t="s">
        <v>41</v>
      </c>
      <c r="C23" s="54"/>
      <c r="D23" s="86"/>
      <c r="E23" s="82"/>
      <c r="F23" s="82"/>
      <c r="G23" s="82"/>
      <c r="H23" s="82"/>
      <c r="I23" s="82"/>
      <c r="J23" s="1"/>
      <c r="K23" s="1"/>
    </row>
    <row r="24" ht="40.5" customHeight="1">
      <c r="A24" s="1"/>
      <c r="B24" s="1"/>
      <c r="C24" s="1"/>
      <c r="D24" s="1"/>
      <c r="E24" s="1"/>
      <c r="F24" s="87"/>
      <c r="G24" s="87"/>
      <c r="H24" s="87"/>
      <c r="I24" s="87"/>
      <c r="J24" s="1"/>
      <c r="K24" s="1"/>
    </row>
    <row r="25" ht="40.5" hidden="1" customHeight="1">
      <c r="A25" s="1"/>
      <c r="B25" s="1"/>
      <c r="C25" s="1"/>
      <c r="D25" s="1"/>
      <c r="E25" s="1"/>
      <c r="F25" s="87"/>
      <c r="G25" s="87"/>
      <c r="H25" s="87"/>
      <c r="I25" s="87"/>
      <c r="J25" s="1"/>
      <c r="K25" s="1"/>
    </row>
    <row r="26" ht="40.5" hidden="1" customHeight="1">
      <c r="A26" s="1"/>
      <c r="B26" s="1"/>
      <c r="C26" s="1"/>
      <c r="D26" s="1"/>
      <c r="E26" s="1"/>
      <c r="F26" s="87"/>
      <c r="G26" s="87"/>
      <c r="H26" s="87"/>
      <c r="I26" s="87"/>
      <c r="J26" s="1"/>
      <c r="K26" s="1"/>
    </row>
    <row r="27" ht="40.5" hidden="1" customHeight="1">
      <c r="A27" s="1"/>
      <c r="B27" s="1"/>
      <c r="C27" s="1"/>
      <c r="D27" s="1"/>
      <c r="E27" s="1"/>
      <c r="F27" s="87"/>
      <c r="G27" s="87"/>
      <c r="H27" s="87"/>
      <c r="I27" s="87"/>
      <c r="J27" s="1"/>
      <c r="K27" s="1"/>
    </row>
    <row r="28" ht="36.0" hidden="1" customHeight="1">
      <c r="A28" s="1"/>
      <c r="B28" s="1"/>
      <c r="C28" s="1"/>
      <c r="D28" s="1"/>
      <c r="E28" s="1"/>
      <c r="F28" s="1"/>
      <c r="G28" s="1"/>
      <c r="H28" s="1"/>
      <c r="I28" s="1"/>
      <c r="J28" s="1"/>
      <c r="K28" s="1"/>
    </row>
    <row r="29" ht="14.25" hidden="1" customHeight="1">
      <c r="A29" s="1"/>
      <c r="B29" s="1"/>
      <c r="C29" s="1"/>
      <c r="D29" s="1"/>
      <c r="E29" s="1"/>
      <c r="F29" s="1"/>
      <c r="G29" s="1"/>
      <c r="H29" s="1"/>
      <c r="I29" s="1"/>
      <c r="J29" s="1"/>
      <c r="K29" s="1"/>
    </row>
    <row r="30" ht="14.25" hidden="1" customHeight="1">
      <c r="A30" s="1"/>
      <c r="B30" s="1"/>
      <c r="C30" s="1"/>
      <c r="D30" s="1"/>
      <c r="E30" s="1"/>
      <c r="F30" s="1"/>
      <c r="G30" s="1"/>
      <c r="H30" s="1"/>
      <c r="I30" s="1"/>
      <c r="J30" s="1"/>
      <c r="K30" s="1"/>
    </row>
    <row r="31" ht="14.25" hidden="1" customHeight="1">
      <c r="A31" s="1"/>
      <c r="B31" s="1"/>
      <c r="C31" s="1"/>
      <c r="D31" s="1"/>
      <c r="E31" s="1"/>
      <c r="F31" s="1"/>
      <c r="G31" s="1"/>
      <c r="H31" s="1"/>
      <c r="I31" s="1"/>
      <c r="J31" s="1"/>
      <c r="K31" s="1"/>
    </row>
    <row r="32" ht="14.25" hidden="1" customHeight="1">
      <c r="A32" s="1"/>
      <c r="B32" s="1"/>
      <c r="C32" s="1"/>
      <c r="D32" s="1"/>
      <c r="E32" s="1"/>
      <c r="F32" s="1"/>
      <c r="G32" s="1"/>
      <c r="H32" s="1"/>
      <c r="I32" s="1"/>
      <c r="J32" s="1"/>
      <c r="K32" s="1"/>
    </row>
    <row r="33" ht="15.0" hidden="1" customHeight="1">
      <c r="A33" s="1"/>
      <c r="B33" s="1"/>
      <c r="C33" s="1"/>
      <c r="D33" s="1"/>
      <c r="E33" s="1"/>
      <c r="F33" s="1"/>
      <c r="G33" s="1"/>
      <c r="H33" s="1"/>
      <c r="I33" s="1"/>
      <c r="J33" s="1"/>
      <c r="K33" s="1"/>
    </row>
    <row r="34" ht="15.75" hidden="1" customHeight="1">
      <c r="A34" s="1"/>
      <c r="B34" s="1"/>
      <c r="C34" s="1"/>
      <c r="D34" s="1"/>
      <c r="E34" s="1"/>
      <c r="F34" s="1"/>
      <c r="G34" s="1"/>
      <c r="H34" s="1"/>
      <c r="I34" s="1"/>
      <c r="J34" s="1"/>
      <c r="K34" s="1"/>
    </row>
    <row r="35" ht="15.75" hidden="1" customHeight="1">
      <c r="A35" s="1"/>
      <c r="B35" s="1"/>
      <c r="C35" s="1"/>
      <c r="D35" s="1"/>
      <c r="E35" s="1"/>
      <c r="F35" s="1"/>
      <c r="G35" s="1"/>
      <c r="H35" s="1"/>
      <c r="I35" s="1"/>
      <c r="J35" s="1"/>
      <c r="K35" s="1"/>
    </row>
    <row r="36" ht="15.75" hidden="1" customHeight="1">
      <c r="A36" s="1"/>
      <c r="B36" s="1"/>
      <c r="C36" s="1"/>
      <c r="D36" s="1"/>
      <c r="E36" s="1"/>
      <c r="F36" s="1"/>
      <c r="G36" s="1"/>
      <c r="H36" s="1"/>
      <c r="I36" s="1"/>
      <c r="J36" s="1"/>
      <c r="K36" s="1"/>
    </row>
    <row r="37" ht="15.75" hidden="1" customHeight="1">
      <c r="A37" s="1"/>
      <c r="B37" s="1"/>
      <c r="C37" s="1"/>
      <c r="D37" s="1"/>
      <c r="E37" s="1"/>
      <c r="F37" s="1"/>
      <c r="G37" s="1"/>
      <c r="H37" s="1"/>
      <c r="I37" s="1"/>
      <c r="J37" s="1"/>
      <c r="K37" s="1"/>
    </row>
    <row r="38" ht="15.75" hidden="1" customHeight="1"/>
    <row r="39" ht="15.75" hidden="1"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E17:I17"/>
    <mergeCell ref="E18:I18"/>
    <mergeCell ref="E19:I19"/>
    <mergeCell ref="B9:C9"/>
    <mergeCell ref="B10:C10"/>
    <mergeCell ref="B11:C11"/>
    <mergeCell ref="B13:B15"/>
    <mergeCell ref="E13:I13"/>
    <mergeCell ref="E14:I14"/>
    <mergeCell ref="E15:I15"/>
    <mergeCell ref="B17:B19"/>
    <mergeCell ref="B21:D21"/>
    <mergeCell ref="B22:C22"/>
    <mergeCell ref="B23:C23"/>
    <mergeCell ref="B2:C2"/>
    <mergeCell ref="B3:C3"/>
    <mergeCell ref="B4:C4"/>
    <mergeCell ref="B5:C5"/>
    <mergeCell ref="B6:C6"/>
    <mergeCell ref="B7:C7"/>
    <mergeCell ref="B8:C8"/>
  </mergeCells>
  <conditionalFormatting sqref="D13:D15">
    <cfRule type="cellIs" dxfId="0" priority="1" operator="greaterThan">
      <formula>10</formula>
    </cfRule>
  </conditionalFormatting>
  <conditionalFormatting sqref="D13:D15">
    <cfRule type="cellIs" dxfId="1" priority="2" operator="lessThan">
      <formula>10</formula>
    </cfRule>
  </conditionalFormatting>
  <conditionalFormatting sqref="E17:I19 F24:I27">
    <cfRule type="containsText" dxfId="2" priority="3" operator="containsText" text="LPA">
      <formula>NOT(ISERROR(SEARCH(("LPA"),(E17))))</formula>
    </cfRule>
  </conditionalFormatting>
  <conditionalFormatting sqref="E17:I19 F24:I27">
    <cfRule type="containsText" dxfId="1" priority="4" operator="containsText" text="Caution - % changed from default">
      <formula>NOT(ISERROR(SEARCH(("Caution - % changed from default"),(E17))))</formula>
    </cfRule>
  </conditionalFormatting>
  <conditionalFormatting sqref="D17:D19">
    <cfRule type="cellIs" dxfId="1" priority="5" operator="lessThan">
      <formula>0</formula>
    </cfRule>
  </conditionalFormatting>
  <conditionalFormatting sqref="E13:I15">
    <cfRule type="expression" dxfId="2" priority="6">
      <formula>$D13&gt;10</formula>
    </cfRule>
  </conditionalFormatting>
  <conditionalFormatting sqref="E13:I15">
    <cfRule type="expression" dxfId="1" priority="7">
      <formula>$D13&lt;10</formula>
    </cfRule>
  </conditionalFormatting>
  <dataValidations>
    <dataValidation type="list" allowBlank="1" showInputMessage="1" prompt="Caution - Please select from list where possible" sqref="D6">
      <formula1>'11. Lists'!$X$36:$X$41</formula1>
    </dataValidation>
    <dataValidation type="date" operator="lessThanOrEqual" allowBlank="1" showInputMessage="1" showErrorMessage="1" prompt="Error - Future dates cannot be added" sqref="D9 D23">
      <formula1>TODAY()</formula1>
    </dataValidation>
    <dataValidation type="decimal" allowBlank="1" showErrorMessage="1" sqref="D13:D19">
      <formula1>0.0</formula1>
      <formula2>1.0E10</formula2>
    </dataValidation>
  </dataValidation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fitToPage="1"/>
  </sheetPr>
  <sheetViews>
    <sheetView workbookViewId="0"/>
  </sheetViews>
  <sheetFormatPr customHeight="1" defaultColWidth="14.43" defaultRowHeight="15.0"/>
  <cols>
    <col customWidth="1" min="1" max="1" width="4.57"/>
    <col customWidth="1" min="2" max="2" width="63.29"/>
    <col customWidth="1" min="3" max="3" width="48.71"/>
    <col customWidth="1" min="4" max="4" width="46.71"/>
    <col customWidth="1" min="5" max="8" width="8.71"/>
    <col customWidth="1" hidden="1" min="9" max="14" width="8.71"/>
    <col customWidth="1" min="15" max="26" width="8.71"/>
  </cols>
  <sheetData>
    <row r="1" ht="14.25" customHeight="1">
      <c r="A1" s="1"/>
      <c r="B1" s="1"/>
      <c r="C1" s="1"/>
      <c r="D1" s="1"/>
      <c r="E1" s="1"/>
      <c r="F1" s="1"/>
      <c r="G1" s="1"/>
      <c r="H1" s="1"/>
      <c r="I1" s="1"/>
      <c r="J1" s="1"/>
      <c r="K1" s="1"/>
      <c r="L1" s="1"/>
      <c r="M1" s="1"/>
      <c r="N1" s="1"/>
    </row>
    <row r="2" ht="24.0" customHeight="1">
      <c r="A2" s="88"/>
      <c r="B2" s="89" t="s">
        <v>42</v>
      </c>
      <c r="C2" s="90" t="str">
        <f>IF('2. Site Details'!D4="","Enter site name on 2. Site Details",'2. Site Details'!D4)</f>
        <v>279 Long Lane, Uxbridge</v>
      </c>
      <c r="D2" s="60"/>
      <c r="E2" s="1"/>
      <c r="F2" s="1"/>
      <c r="G2" s="1"/>
      <c r="H2" s="1"/>
      <c r="I2" s="1"/>
      <c r="J2" s="1"/>
      <c r="K2" s="1"/>
      <c r="L2" s="1"/>
      <c r="M2" s="1"/>
      <c r="N2" s="1"/>
    </row>
    <row r="3" ht="24.0" customHeight="1">
      <c r="A3" s="88"/>
      <c r="B3" s="91" t="s">
        <v>16</v>
      </c>
      <c r="C3" s="92" t="s">
        <v>43</v>
      </c>
      <c r="D3" s="54"/>
      <c r="E3" s="1"/>
      <c r="F3" s="1"/>
      <c r="G3" s="1"/>
      <c r="H3" s="1"/>
      <c r="I3" s="1"/>
      <c r="J3" s="1"/>
      <c r="K3" s="1"/>
      <c r="L3" s="1"/>
      <c r="M3" s="1"/>
      <c r="N3" s="1"/>
    </row>
    <row r="4" ht="14.25" customHeight="1">
      <c r="A4" s="88"/>
      <c r="B4" s="88"/>
      <c r="C4" s="88"/>
      <c r="D4" s="88"/>
      <c r="E4" s="1"/>
      <c r="F4" s="1"/>
      <c r="G4" s="1"/>
      <c r="H4" s="1"/>
      <c r="I4" s="1"/>
      <c r="J4" s="1"/>
      <c r="K4" s="1"/>
      <c r="L4" s="1"/>
      <c r="M4" s="1"/>
      <c r="N4" s="1"/>
    </row>
    <row r="5" ht="36.0" customHeight="1">
      <c r="A5" s="58"/>
      <c r="B5" s="68" t="s">
        <v>44</v>
      </c>
      <c r="C5" s="93"/>
      <c r="D5" s="93"/>
      <c r="E5" s="1"/>
      <c r="F5" s="1"/>
      <c r="G5" s="1"/>
      <c r="H5" s="1"/>
      <c r="I5" s="1"/>
      <c r="J5" s="1"/>
      <c r="K5" s="1"/>
      <c r="L5" s="1"/>
      <c r="M5" s="1"/>
      <c r="N5" s="1"/>
    </row>
    <row r="6" ht="42.0" customHeight="1">
      <c r="A6" s="1"/>
      <c r="B6" s="94" t="s">
        <v>45</v>
      </c>
      <c r="C6" s="95" t="s">
        <v>46</v>
      </c>
      <c r="D6" s="96" t="str">
        <f>IF(AND(C6="Residential",C9="Unknown number"),"Site area must be less than 5,000 m2",IF(C6="","","Site area must be less than 10,000 m2"))</f>
        <v>Site area must be less than 10,000 m2</v>
      </c>
      <c r="E6" s="97" t="str">
        <f>IF(AND(C9="Unknown number", C6="Residential"),"Site area limited by unknown number of dwellings ⚠", "")</f>
        <v/>
      </c>
      <c r="F6" s="14"/>
      <c r="G6" s="14"/>
      <c r="H6" s="15"/>
      <c r="I6" s="1"/>
      <c r="J6" s="1"/>
      <c r="K6" s="1"/>
      <c r="L6" s="1"/>
      <c r="M6" s="1"/>
      <c r="N6" s="1"/>
    </row>
    <row r="7" ht="42.0" customHeight="1">
      <c r="A7" s="1"/>
      <c r="B7" s="98" t="s">
        <v>47</v>
      </c>
      <c r="C7" s="99">
        <v>1027.0</v>
      </c>
      <c r="D7" s="100" t="str">
        <f>IF(AND(D6="Site area must be less than 10,000 m2",C7&gt;=10000),"ERROR- Site too large for metric  - USE MAIN METRIC ▲",IF(AND(D6="Site area must be less than 5,000 m2",C7&gt;=5000),"ERROR- Site too large for metric  - USE MAIN METRIC ▲",""))</f>
        <v/>
      </c>
      <c r="E7" s="1"/>
      <c r="F7" s="1"/>
      <c r="G7" s="1"/>
      <c r="H7" s="1"/>
      <c r="I7" s="1"/>
      <c r="J7" s="1"/>
      <c r="K7" s="1"/>
      <c r="L7" s="1"/>
      <c r="M7" s="1"/>
      <c r="N7" s="1"/>
    </row>
    <row r="8" ht="42.0" customHeight="1">
      <c r="A8" s="1"/>
      <c r="B8" s="101" t="str">
        <f>IF(OR(C6="Residential",C6="Other"),"N/A",IF(C6="","","16. Building footprint (m2) of commercial buildings proposed within the development site (or zero if none)"))</f>
        <v>N/A</v>
      </c>
      <c r="C8" s="99"/>
      <c r="D8" s="102" t="str">
        <f>IF(AND(B8="n/a",C8&lt;&gt;""),"ERROR- Not required",IF(AND(C8&lt;&gt;"",C8&gt;=1000),"ERROR- Footprint too large for metric  - USE MAIN METRIC",IF(AND(C8&lt;&gt;"",C8&gt;C7),"ERROR - Footprint larger than development area","")))</f>
        <v/>
      </c>
      <c r="E8" s="1"/>
      <c r="F8" s="1"/>
      <c r="G8" s="1"/>
      <c r="H8" s="1"/>
      <c r="I8" s="1"/>
      <c r="J8" s="1"/>
      <c r="K8" s="1"/>
      <c r="L8" s="1"/>
      <c r="M8" s="1"/>
      <c r="N8" s="1"/>
    </row>
    <row r="9" ht="42.0" customHeight="1">
      <c r="A9" s="1"/>
      <c r="B9" s="103" t="str">
        <f>IF(OR(C6="Commercial",C6="Other"),"N/A",IF(C6="","","17. Number of dwellings proposed within the development site"))</f>
        <v>17. Number of dwellings proposed within the development site</v>
      </c>
      <c r="C9" s="104" t="s">
        <v>48</v>
      </c>
      <c r="D9" s="1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1"/>
      <c r="F9" s="1"/>
      <c r="G9" s="1"/>
      <c r="H9" s="1"/>
      <c r="I9" s="1"/>
      <c r="J9" s="1"/>
      <c r="K9" s="1"/>
      <c r="L9" s="1"/>
      <c r="M9" s="1"/>
      <c r="N9" s="1"/>
    </row>
    <row r="10" ht="36.0" customHeight="1">
      <c r="A10" s="1"/>
      <c r="B10" s="68" t="s">
        <v>49</v>
      </c>
      <c r="C10" s="106"/>
      <c r="D10" s="107"/>
      <c r="E10" s="1"/>
      <c r="F10" s="1"/>
      <c r="G10" s="1"/>
      <c r="H10" s="1"/>
      <c r="I10" s="1"/>
      <c r="J10" s="1"/>
      <c r="K10" s="1"/>
      <c r="L10" s="1"/>
      <c r="M10" s="1"/>
      <c r="N10" s="1"/>
    </row>
    <row r="11" ht="42.0" customHeight="1">
      <c r="A11" s="1"/>
      <c r="B11" s="94" t="s">
        <v>50</v>
      </c>
      <c r="C11" s="95" t="s">
        <v>51</v>
      </c>
      <c r="D11" s="96" t="str">
        <f t="shared" ref="D11:D12" si="1">IF(C11="On site","ERROR- Site too complex for metric - USE MAIN METRIC ▲",IF(C11="Within 500m of site boundary","Consider using main metric tool ⚠",""))</f>
        <v/>
      </c>
      <c r="E11" s="1"/>
      <c r="F11" s="1"/>
      <c r="G11" s="1"/>
      <c r="H11" s="1"/>
      <c r="I11" s="1"/>
      <c r="J11" s="1"/>
      <c r="K11" s="1"/>
      <c r="L11" s="1"/>
      <c r="M11" s="1"/>
      <c r="N11" s="1"/>
    </row>
    <row r="12" ht="42.0" customHeight="1">
      <c r="A12" s="1"/>
      <c r="B12" s="98" t="s">
        <v>52</v>
      </c>
      <c r="C12" s="99" t="s">
        <v>53</v>
      </c>
      <c r="D12" s="108" t="str">
        <f t="shared" si="1"/>
        <v>Consider using main metric tool ⚠</v>
      </c>
      <c r="E12" s="1"/>
      <c r="F12" s="1"/>
      <c r="G12" s="1"/>
      <c r="H12" s="1"/>
      <c r="I12" s="1"/>
      <c r="J12" s="1"/>
      <c r="K12" s="1"/>
      <c r="L12" s="1"/>
      <c r="M12" s="1"/>
      <c r="N12" s="1"/>
    </row>
    <row r="13" ht="78.75" customHeight="1">
      <c r="A13" s="1"/>
      <c r="B13" s="98" t="s">
        <v>54</v>
      </c>
      <c r="C13" s="109" t="s">
        <v>55</v>
      </c>
      <c r="D13" s="43"/>
      <c r="E13" s="1"/>
      <c r="F13" s="1"/>
      <c r="G13" s="1"/>
      <c r="H13" s="1"/>
      <c r="I13" s="1"/>
      <c r="J13" s="1"/>
      <c r="K13" s="1"/>
      <c r="L13" s="1"/>
      <c r="M13" s="1"/>
      <c r="N13" s="1"/>
    </row>
    <row r="14" ht="78.75" customHeight="1">
      <c r="A14" s="1"/>
      <c r="B14" s="110" t="s">
        <v>56</v>
      </c>
      <c r="C14" s="111" t="s">
        <v>57</v>
      </c>
      <c r="D14" s="54"/>
      <c r="E14" s="1"/>
      <c r="F14" s="1"/>
      <c r="G14" s="1"/>
      <c r="H14" s="1"/>
      <c r="I14" s="1"/>
      <c r="J14" s="1"/>
      <c r="K14" s="1"/>
      <c r="L14" s="1"/>
      <c r="M14" s="1"/>
      <c r="N14" s="1"/>
    </row>
    <row r="15" ht="36.0" customHeight="1">
      <c r="A15" s="1"/>
      <c r="B15" s="112" t="s">
        <v>58</v>
      </c>
      <c r="C15" s="1"/>
      <c r="D15" s="1"/>
      <c r="E15" s="1"/>
      <c r="F15" s="1"/>
      <c r="G15" s="1"/>
      <c r="H15" s="1"/>
      <c r="I15" s="1"/>
      <c r="J15" s="1"/>
      <c r="K15" s="1"/>
      <c r="L15" s="1"/>
      <c r="M15" s="1"/>
      <c r="N15" s="1"/>
    </row>
    <row r="16" ht="42.0" customHeight="1">
      <c r="A16" s="1"/>
      <c r="B16" s="113" t="s">
        <v>59</v>
      </c>
      <c r="C16" s="114" t="s">
        <v>51</v>
      </c>
      <c r="D16" s="115" t="str">
        <f>IF(C16="Yes","ERROR- Site too complex for metric - USE MAIN METRIC ▲","")</f>
        <v/>
      </c>
      <c r="E16" s="1"/>
      <c r="F16" s="1"/>
      <c r="G16" s="1"/>
      <c r="H16" s="1"/>
      <c r="I16" s="1"/>
      <c r="J16" s="1"/>
      <c r="K16" s="1"/>
      <c r="L16" s="1"/>
      <c r="M16" s="1"/>
      <c r="N16" s="1"/>
    </row>
    <row r="17" ht="42.0" hidden="1" customHeight="1">
      <c r="A17" s="1"/>
      <c r="B17" s="1"/>
      <c r="C17" s="1"/>
      <c r="D17" s="1"/>
      <c r="E17" s="1"/>
      <c r="F17" s="1"/>
      <c r="G17" s="1"/>
      <c r="H17" s="1"/>
      <c r="I17" s="1"/>
      <c r="J17" s="1"/>
      <c r="K17" s="1"/>
      <c r="L17" s="1"/>
      <c r="M17" s="1"/>
      <c r="N17" s="1"/>
    </row>
    <row r="18" ht="42.0" customHeight="1">
      <c r="A18" s="1"/>
      <c r="B18" s="68" t="s">
        <v>60</v>
      </c>
      <c r="C18" s="1"/>
      <c r="D18" s="1"/>
      <c r="E18" s="1"/>
      <c r="F18" s="1"/>
      <c r="G18" s="1"/>
      <c r="H18" s="1"/>
      <c r="I18" s="1"/>
      <c r="J18" s="1"/>
      <c r="K18" s="1"/>
      <c r="L18" s="1"/>
      <c r="M18" s="1"/>
      <c r="N18" s="1"/>
    </row>
    <row r="19" ht="36.0" customHeight="1">
      <c r="A19" s="1"/>
      <c r="B19" s="94" t="s">
        <v>61</v>
      </c>
      <c r="C19" s="95" t="s">
        <v>62</v>
      </c>
      <c r="D19" s="116" t="str">
        <f>IF(C19="Walkover completed by competent person","A competent person should be able to confidently identify the habitats onsite",IF(C19="No Walkover Undertaken","ERROR- Site walkover required",""))</f>
        <v/>
      </c>
      <c r="E19" s="1"/>
      <c r="F19" s="1"/>
      <c r="G19" s="1"/>
      <c r="H19" s="1"/>
      <c r="I19" s="1"/>
      <c r="J19" s="1"/>
      <c r="K19" s="1"/>
      <c r="L19" s="1"/>
      <c r="M19" s="1"/>
      <c r="N19" s="1"/>
    </row>
    <row r="20" ht="78.75" customHeight="1">
      <c r="A20" s="1"/>
      <c r="B20" s="98" t="s">
        <v>63</v>
      </c>
      <c r="C20" s="117">
        <v>46206.0</v>
      </c>
      <c r="D20" s="108" t="str">
        <f>IF(C20="","Walkover date required ▲","Site walkover data valid until "&amp;TEXT(EDATE(C20,6),"dd/mm/yy"))</f>
        <v>Site walkover data valid until 03/01/27</v>
      </c>
      <c r="E20" s="1"/>
      <c r="F20" s="1"/>
      <c r="G20" s="1"/>
      <c r="H20" s="1"/>
      <c r="I20" s="1"/>
      <c r="J20" s="1"/>
      <c r="K20" s="1"/>
      <c r="L20" s="1"/>
      <c r="M20" s="1"/>
      <c r="N20" s="1"/>
    </row>
    <row r="21" ht="39.0" customHeight="1">
      <c r="A21" s="1"/>
      <c r="B21" s="110" t="s">
        <v>64</v>
      </c>
      <c r="C21" s="111" t="s">
        <v>65</v>
      </c>
      <c r="D21" s="118"/>
      <c r="E21" s="1"/>
      <c r="F21" s="1"/>
      <c r="G21" s="1"/>
      <c r="H21" s="1"/>
      <c r="I21" s="1"/>
      <c r="J21" s="1"/>
      <c r="K21" s="1"/>
      <c r="L21" s="1"/>
      <c r="M21" s="1"/>
      <c r="N21" s="1"/>
    </row>
    <row r="22" ht="26.25" customHeight="1">
      <c r="A22" s="1"/>
      <c r="B22" s="68" t="s">
        <v>66</v>
      </c>
      <c r="C22" s="1"/>
      <c r="D22" s="1"/>
      <c r="E22" s="1"/>
      <c r="F22" s="1"/>
      <c r="G22" s="1"/>
      <c r="H22" s="1"/>
      <c r="I22" s="1"/>
      <c r="J22" s="1"/>
      <c r="K22" s="1"/>
      <c r="L22" s="1"/>
      <c r="M22" s="1"/>
      <c r="N22" s="1"/>
    </row>
    <row r="23" ht="56.25" customHeight="1">
      <c r="A23" s="1"/>
      <c r="B23" s="113" t="s">
        <v>67</v>
      </c>
      <c r="C23" s="119"/>
      <c r="D23" s="120"/>
      <c r="E23" s="1"/>
      <c r="F23" s="1"/>
      <c r="G23" s="1"/>
      <c r="H23" s="1"/>
      <c r="I23" s="1"/>
      <c r="J23" s="1"/>
      <c r="K23" s="1"/>
      <c r="L23" s="1"/>
      <c r="M23" s="1"/>
      <c r="N23" s="1"/>
    </row>
    <row r="24" ht="14.25" customHeight="1">
      <c r="A24" s="1"/>
      <c r="B24" s="1"/>
      <c r="C24" s="1"/>
      <c r="D24" s="1"/>
      <c r="E24" s="1"/>
      <c r="F24" s="1"/>
      <c r="G24" s="1"/>
      <c r="H24" s="1"/>
      <c r="I24" s="1"/>
      <c r="J24" s="1"/>
      <c r="K24" s="1"/>
      <c r="L24" s="1"/>
      <c r="M24" s="1"/>
      <c r="N24" s="1"/>
    </row>
    <row r="25" ht="14.25" customHeight="1">
      <c r="A25" s="1"/>
      <c r="B25" s="1"/>
      <c r="C25" s="1"/>
      <c r="D25" s="1"/>
      <c r="E25" s="1"/>
      <c r="F25" s="1"/>
      <c r="G25" s="1"/>
      <c r="H25" s="1"/>
      <c r="I25" s="1"/>
      <c r="J25" s="1"/>
      <c r="K25" s="1"/>
      <c r="L25" s="1"/>
      <c r="M25" s="1"/>
      <c r="N25" s="1"/>
    </row>
    <row r="26" ht="15.0" hidden="1" customHeight="1">
      <c r="A26" s="1"/>
      <c r="B26" s="1"/>
      <c r="C26" s="1"/>
      <c r="D26" s="1"/>
      <c r="E26" s="1"/>
      <c r="F26" s="1"/>
      <c r="G26" s="1"/>
      <c r="H26" s="1"/>
      <c r="I26" s="1"/>
      <c r="J26" s="1"/>
      <c r="K26" s="1"/>
      <c r="L26" s="1"/>
      <c r="M26" s="1"/>
      <c r="N26" s="1"/>
    </row>
    <row r="27" ht="15.0" hidden="1" customHeight="1">
      <c r="A27" s="1"/>
      <c r="B27" s="1"/>
      <c r="C27" s="1"/>
      <c r="D27" s="1"/>
      <c r="E27" s="1"/>
      <c r="F27" s="1"/>
      <c r="G27" s="1"/>
      <c r="H27" s="1"/>
      <c r="I27" s="1"/>
      <c r="J27" s="1"/>
      <c r="K27" s="1"/>
      <c r="L27" s="1"/>
      <c r="M27" s="1"/>
      <c r="N27" s="1"/>
    </row>
    <row r="28" ht="14.25" hidden="1" customHeight="1">
      <c r="A28" s="1"/>
      <c r="B28" s="1"/>
      <c r="C28" s="1"/>
      <c r="D28" s="1"/>
      <c r="E28" s="1"/>
      <c r="F28" s="1"/>
      <c r="G28" s="1"/>
      <c r="H28" s="1"/>
      <c r="I28" s="1"/>
      <c r="J28" s="1"/>
      <c r="K28" s="1"/>
      <c r="L28" s="1"/>
      <c r="M28" s="1"/>
      <c r="N28" s="1"/>
    </row>
    <row r="29" ht="14.25" hidden="1" customHeight="1">
      <c r="A29" s="1"/>
      <c r="B29" s="1"/>
      <c r="C29" s="1"/>
      <c r="D29" s="1"/>
      <c r="E29" s="1"/>
      <c r="F29" s="1"/>
      <c r="G29" s="1"/>
      <c r="H29" s="1"/>
      <c r="I29" s="1"/>
      <c r="J29" s="1"/>
      <c r="K29" s="1"/>
      <c r="L29" s="1"/>
      <c r="M29" s="1"/>
      <c r="N29" s="1"/>
    </row>
    <row r="30" ht="14.25" hidden="1" customHeight="1">
      <c r="A30" s="1"/>
      <c r="B30" s="1"/>
      <c r="C30" s="1"/>
      <c r="D30" s="1"/>
      <c r="E30" s="1"/>
      <c r="F30" s="1"/>
      <c r="G30" s="1"/>
      <c r="H30" s="1"/>
      <c r="I30" s="1"/>
      <c r="J30" s="1"/>
      <c r="K30" s="1"/>
      <c r="L30" s="1"/>
      <c r="M30" s="1"/>
      <c r="N30" s="1"/>
    </row>
    <row r="31" ht="14.25" hidden="1" customHeight="1">
      <c r="A31" s="1"/>
      <c r="B31" s="1"/>
      <c r="C31" s="1"/>
      <c r="D31" s="1"/>
      <c r="E31" s="1"/>
      <c r="F31" s="1"/>
      <c r="G31" s="1"/>
      <c r="H31" s="1"/>
    </row>
    <row r="32" ht="14.25" hidden="1" customHeight="1">
      <c r="A32" s="1"/>
      <c r="B32" s="1"/>
      <c r="C32" s="1"/>
      <c r="D32" s="1"/>
      <c r="E32" s="1"/>
      <c r="F32" s="1"/>
      <c r="G32" s="1"/>
      <c r="H32" s="1"/>
    </row>
    <row r="33" ht="14.25" hidden="1" customHeight="1">
      <c r="A33" s="1"/>
      <c r="B33" s="1"/>
      <c r="C33" s="1"/>
      <c r="D33" s="1"/>
      <c r="E33" s="1"/>
      <c r="F33" s="1"/>
      <c r="G33" s="1"/>
      <c r="H33" s="1"/>
    </row>
    <row r="34" ht="14.25" hidden="1" customHeight="1">
      <c r="A34" s="1"/>
      <c r="B34" s="1"/>
      <c r="C34" s="1"/>
      <c r="D34" s="1"/>
      <c r="E34" s="1"/>
      <c r="F34" s="1"/>
      <c r="G34" s="1"/>
      <c r="H34" s="1"/>
    </row>
    <row r="35" ht="14.25" hidden="1" customHeight="1">
      <c r="A35" s="1"/>
      <c r="B35" s="1"/>
      <c r="C35" s="1"/>
      <c r="D35" s="1"/>
      <c r="E35" s="1"/>
      <c r="F35" s="1"/>
      <c r="G35" s="1"/>
      <c r="H35" s="1"/>
    </row>
    <row r="36" ht="14.25" hidden="1" customHeight="1">
      <c r="A36" s="1"/>
      <c r="B36" s="1"/>
      <c r="C36" s="1"/>
      <c r="D36" s="1"/>
      <c r="E36" s="1"/>
      <c r="F36" s="1"/>
      <c r="G36" s="1"/>
      <c r="H36" s="1"/>
    </row>
    <row r="37" ht="14.25" hidden="1" customHeight="1">
      <c r="A37" s="1"/>
      <c r="B37" s="1"/>
      <c r="C37" s="1"/>
      <c r="D37" s="1"/>
      <c r="E37" s="1"/>
      <c r="F37" s="1"/>
      <c r="G37" s="1"/>
      <c r="H37" s="1"/>
    </row>
    <row r="38" ht="14.25" hidden="1" customHeight="1">
      <c r="A38" s="1"/>
      <c r="B38" s="1"/>
      <c r="C38" s="1"/>
      <c r="D38" s="1"/>
      <c r="E38" s="1"/>
      <c r="F38" s="1"/>
      <c r="G38" s="1"/>
      <c r="H38" s="1"/>
    </row>
    <row r="39" ht="14.25" hidden="1" customHeight="1">
      <c r="A39" s="1"/>
      <c r="B39" s="1"/>
      <c r="C39" s="1"/>
      <c r="D39" s="1"/>
      <c r="E39" s="1"/>
      <c r="F39" s="1"/>
      <c r="G39" s="1"/>
      <c r="H39" s="1"/>
    </row>
    <row r="40" ht="14.25" customHeight="1"/>
    <row r="41" ht="14.25" customHeight="1"/>
    <row r="42" ht="14.25" customHeight="1"/>
    <row r="43" ht="14.25" customHeight="1"/>
    <row r="44" ht="14.25" customHeight="1"/>
    <row r="45" ht="14.25" customHeight="1"/>
    <row r="46" ht="14.25" customHeight="1"/>
    <row r="47" ht="14.25" customHeight="1"/>
    <row r="48" ht="14.25" customHeight="1"/>
    <row r="49" ht="14.25" hidden="1" customHeight="1"/>
    <row r="50" ht="14.25" hidden="1" customHeight="1"/>
    <row r="51" ht="14.25" hidden="1"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
    <mergeCell ref="C2:D2"/>
    <mergeCell ref="C3:D3"/>
    <mergeCell ref="E6:H6"/>
    <mergeCell ref="C13:D13"/>
    <mergeCell ref="C14:D14"/>
  </mergeCells>
  <conditionalFormatting sqref="C11">
    <cfRule type="expression" dxfId="3" priority="1">
      <formula>C11="Within 500m of site boundary"</formula>
    </cfRule>
  </conditionalFormatting>
  <conditionalFormatting sqref="C11">
    <cfRule type="expression" dxfId="4" priority="2">
      <formula>C11="On site"</formula>
    </cfRule>
  </conditionalFormatting>
  <conditionalFormatting sqref="C11">
    <cfRule type="expression" dxfId="5" priority="3">
      <formula>C11="No"</formula>
    </cfRule>
  </conditionalFormatting>
  <conditionalFormatting sqref="D11:D12">
    <cfRule type="expression" dxfId="4" priority="4">
      <formula>C11="On site"</formula>
    </cfRule>
  </conditionalFormatting>
  <conditionalFormatting sqref="C19:C20">
    <cfRule type="expression" dxfId="3" priority="5">
      <formula>C19="Walkover completed by competent person"</formula>
    </cfRule>
  </conditionalFormatting>
  <conditionalFormatting sqref="C19:C20">
    <cfRule type="expression" dxfId="4" priority="6">
      <formula>C19="No walkover undertaken"</formula>
    </cfRule>
  </conditionalFormatting>
  <conditionalFormatting sqref="C19:C20">
    <cfRule type="expression" dxfId="5" priority="7">
      <formula>C19="Walkover completed by qualified ecologist"</formula>
    </cfRule>
  </conditionalFormatting>
  <conditionalFormatting sqref="C12">
    <cfRule type="expression" dxfId="3" priority="8">
      <formula>C12="Within 500m of site boundary"</formula>
    </cfRule>
  </conditionalFormatting>
  <conditionalFormatting sqref="C12">
    <cfRule type="expression" dxfId="4" priority="9">
      <formula>C12="On site"</formula>
    </cfRule>
  </conditionalFormatting>
  <conditionalFormatting sqref="C12">
    <cfRule type="expression" dxfId="5" priority="10">
      <formula>C12="No"</formula>
    </cfRule>
  </conditionalFormatting>
  <conditionalFormatting sqref="D20">
    <cfRule type="containsText" dxfId="1" priority="11" operator="containsText" text="Walkover date required">
      <formula>NOT(ISERROR(SEARCH(("Walkover date required"),(D20))))</formula>
    </cfRule>
  </conditionalFormatting>
  <conditionalFormatting sqref="C8">
    <cfRule type="expression" dxfId="4" priority="12" stopIfTrue="1">
      <formula>IF(LEFT(D8,1)="E","TRUE","")</formula>
    </cfRule>
  </conditionalFormatting>
  <conditionalFormatting sqref="C8">
    <cfRule type="expression" dxfId="0" priority="13">
      <formula>AND(C8&gt;0,C8&lt;=C7,C8&lt;1001)</formula>
    </cfRule>
  </conditionalFormatting>
  <conditionalFormatting sqref="C6">
    <cfRule type="expression" dxfId="5" priority="14">
      <formula>IF(C6&lt;&gt;"",TRUE,"")</formula>
    </cfRule>
  </conditionalFormatting>
  <conditionalFormatting sqref="D7">
    <cfRule type="expression" dxfId="4" priority="15">
      <formula>IF(LEFT(D7,1)="E","TRUE","")</formula>
    </cfRule>
  </conditionalFormatting>
  <conditionalFormatting sqref="D8">
    <cfRule type="containsText" dxfId="4" priority="16" operator="containsText" text="ERROR">
      <formula>NOT(ISERROR(SEARCH(("ERROR"),(D8))))</formula>
    </cfRule>
  </conditionalFormatting>
  <conditionalFormatting sqref="C7">
    <cfRule type="expression" dxfId="4" priority="17">
      <formula>IF(AND(LEFT(D7,1)="E",C7&lt;&gt;""),TRUE,"")</formula>
    </cfRule>
  </conditionalFormatting>
  <conditionalFormatting sqref="C7">
    <cfRule type="expression" dxfId="0" priority="18" stopIfTrue="1">
      <formula>IF(AND(LEFT(D7,1)&lt;&gt;"E",C7&lt;&gt;""),TRUE,"")</formula>
    </cfRule>
  </conditionalFormatting>
  <conditionalFormatting sqref="C9">
    <cfRule type="containsText" dxfId="6" priority="19" operator="containsText" text="Unknown">
      <formula>NOT(ISERROR(SEARCH(("Unknown"),(C9))))</formula>
    </cfRule>
  </conditionalFormatting>
  <conditionalFormatting sqref="C9">
    <cfRule type="expression" dxfId="4" priority="20" stopIfTrue="1">
      <formula>IF(LEFT(D9,1)="E","TRUE","")</formula>
    </cfRule>
  </conditionalFormatting>
  <conditionalFormatting sqref="C9">
    <cfRule type="expression" dxfId="0" priority="21">
      <formula>AND(C9&gt;0,LEFT(D10,1)&lt;&gt;"E")</formula>
    </cfRule>
  </conditionalFormatting>
  <conditionalFormatting sqref="D9">
    <cfRule type="containsText" dxfId="4" priority="22" operator="containsText" text="ERROR">
      <formula>NOT(ISERROR(SEARCH(("ERROR"),(D9))))</formula>
    </cfRule>
  </conditionalFormatting>
  <conditionalFormatting sqref="D11">
    <cfRule type="containsText" dxfId="6" priority="23" operator="containsText" text="Consider">
      <formula>NOT(ISERROR(SEARCH(("Consider"),(D11))))</formula>
    </cfRule>
  </conditionalFormatting>
  <conditionalFormatting sqref="D12">
    <cfRule type="containsText" dxfId="6" priority="24" operator="containsText" text="Consider">
      <formula>NOT(ISERROR(SEARCH(("Consider"),(D12))))</formula>
    </cfRule>
  </conditionalFormatting>
  <conditionalFormatting sqref="E6:H6">
    <cfRule type="notContainsBlanks" dxfId="6" priority="25">
      <formula>LEN(TRIM(E6))&gt;0</formula>
    </cfRule>
  </conditionalFormatting>
  <conditionalFormatting sqref="D19">
    <cfRule type="expression" dxfId="7" priority="26">
      <formula>$C$19="Walkover completed by competent person"</formula>
    </cfRule>
  </conditionalFormatting>
  <conditionalFormatting sqref="D19">
    <cfRule type="expression" dxfId="4" priority="27">
      <formula>C19="No walkover undertaken"</formula>
    </cfRule>
  </conditionalFormatting>
  <conditionalFormatting sqref="C16">
    <cfRule type="expression" dxfId="3" priority="28">
      <formula>C16="Within 500m of site boundary"</formula>
    </cfRule>
  </conditionalFormatting>
  <conditionalFormatting sqref="C16">
    <cfRule type="expression" dxfId="4" priority="29">
      <formula>C16="On site"</formula>
    </cfRule>
  </conditionalFormatting>
  <conditionalFormatting sqref="C16">
    <cfRule type="expression" dxfId="5" priority="30">
      <formula>C16="No"</formula>
    </cfRule>
  </conditionalFormatting>
  <conditionalFormatting sqref="D16">
    <cfRule type="containsText" dxfId="1" priority="31" operator="containsText" text="ERROR">
      <formula>NOT(ISERROR(SEARCH(("ERROR"),(D16))))</formula>
    </cfRule>
  </conditionalFormatting>
  <conditionalFormatting sqref="D16">
    <cfRule type="expression" dxfId="4" priority="32">
      <formula>C16="On site"</formula>
    </cfRule>
  </conditionalFormatting>
  <conditionalFormatting sqref="D16">
    <cfRule type="containsText" dxfId="6" priority="33" operator="containsText" text="Consider">
      <formula>NOT(ISERROR(SEARCH(("Consider"),(D16))))</formula>
    </cfRule>
  </conditionalFormatting>
  <dataValidations>
    <dataValidation type="list" allowBlank="1" showErrorMessage="1" sqref="C11:C12">
      <formula1>"On site,Within 500m of site boundary,No"</formula1>
    </dataValidation>
    <dataValidation type="list" allowBlank="1" showErrorMessage="1" sqref="C9">
      <formula1>"Unknown number,Between 1 - 9 dwellings,Over 9 dwellings"</formula1>
    </dataValidation>
    <dataValidation type="list" allowBlank="1" showErrorMessage="1" sqref="C6">
      <formula1>"Residential,Commercial,Mixed,Other"</formula1>
    </dataValidation>
    <dataValidation type="list" allowBlank="1" showErrorMessage="1" sqref="C16">
      <formula1>"Yes,No"</formula1>
    </dataValidation>
    <dataValidation type="list" allowBlank="1" showErrorMessage="1" sqref="C19">
      <formula1>"Walkover completed by qualified ecologist,Walkover completed by competent person,No walkover undertaken"</formula1>
    </dataValidation>
    <dataValidation type="date" operator="lessThanOrEqual" allowBlank="1" showInputMessage="1" showErrorMessage="1" prompt="Error - Future dates not permited" sqref="C20">
      <formula1>TODAY()</formula1>
    </dataValidation>
  </dataValidation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fitToPage="1"/>
  </sheetPr>
  <sheetViews>
    <sheetView showGridLines="0" workbookViewId="0">
      <pane xSplit="2.0" ySplit="7.0" topLeftCell="C8" activePane="bottomRight" state="frozen"/>
      <selection activeCell="C1" sqref="C1" pane="topRight"/>
      <selection activeCell="A8" sqref="A8" pane="bottomLeft"/>
      <selection activeCell="C8" sqref="C8" pane="bottomRight"/>
    </sheetView>
  </sheetViews>
  <sheetFormatPr customHeight="1" defaultColWidth="14.43" defaultRowHeight="15.0"/>
  <cols>
    <col customWidth="1" min="1" max="1" width="3.43"/>
    <col customWidth="1" min="2" max="2" width="16.43"/>
    <col customWidth="1" min="3" max="3" width="32.29"/>
    <col customWidth="1" min="4" max="5" width="89.71"/>
    <col customWidth="1" min="6" max="7" width="8.71"/>
    <col customWidth="1" hidden="1" min="8" max="25" width="8.71"/>
    <col customWidth="1" min="26" max="26" width="8.71"/>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24.0" customHeight="1">
      <c r="A2" s="1"/>
      <c r="B2" s="121" t="s">
        <v>42</v>
      </c>
      <c r="C2" s="122"/>
      <c r="D2" s="123" t="str">
        <f>IF('2. Site Details'!D4="","Enter site name on 2. Site Details",'2. Site Details'!D4)</f>
        <v>279 Long Lane, Uxbridge</v>
      </c>
      <c r="E2" s="124"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1"/>
      <c r="G2" s="1"/>
      <c r="H2" s="1"/>
      <c r="I2" s="1"/>
      <c r="J2" s="1"/>
      <c r="K2" s="1"/>
      <c r="L2" s="1"/>
      <c r="M2" s="1"/>
      <c r="N2" s="1"/>
      <c r="O2" s="1"/>
      <c r="P2" s="1"/>
      <c r="Q2" s="1"/>
      <c r="R2" s="1"/>
      <c r="S2" s="1"/>
      <c r="T2" s="1"/>
      <c r="U2" s="1"/>
      <c r="V2" s="1"/>
      <c r="W2" s="1"/>
      <c r="X2" s="1"/>
      <c r="Y2" s="1"/>
      <c r="Z2" s="1"/>
    </row>
    <row r="3" ht="24.0" customHeight="1">
      <c r="A3" s="1"/>
      <c r="B3" s="125" t="s">
        <v>16</v>
      </c>
      <c r="C3" s="51"/>
      <c r="D3" s="126" t="s">
        <v>68</v>
      </c>
      <c r="E3" s="127"/>
      <c r="F3" s="1"/>
      <c r="G3" s="1"/>
      <c r="H3" s="1"/>
      <c r="I3" s="1"/>
      <c r="J3" s="1"/>
      <c r="K3" s="1"/>
      <c r="L3" s="1"/>
      <c r="M3" s="1"/>
      <c r="N3" s="1"/>
      <c r="O3" s="1"/>
      <c r="P3" s="1"/>
      <c r="Q3" s="1"/>
      <c r="R3" s="1"/>
      <c r="S3" s="1"/>
      <c r="T3" s="1"/>
      <c r="U3" s="1"/>
      <c r="V3" s="1"/>
      <c r="W3" s="1"/>
      <c r="X3" s="1"/>
      <c r="Y3" s="1"/>
      <c r="Z3" s="1"/>
    </row>
    <row r="4" ht="24.0" customHeight="1">
      <c r="A4" s="1"/>
      <c r="B4" s="1"/>
      <c r="C4" s="1"/>
      <c r="D4" s="1"/>
      <c r="E4" s="1"/>
      <c r="F4" s="1"/>
      <c r="G4" s="1"/>
      <c r="H4" s="1"/>
      <c r="I4" s="1"/>
      <c r="J4" s="1"/>
      <c r="K4" s="1"/>
      <c r="L4" s="1"/>
      <c r="M4" s="1"/>
      <c r="N4" s="1"/>
      <c r="O4" s="1"/>
      <c r="P4" s="1"/>
      <c r="Q4" s="1"/>
      <c r="R4" s="1"/>
      <c r="S4" s="1"/>
      <c r="T4" s="1"/>
      <c r="U4" s="1"/>
      <c r="V4" s="1"/>
      <c r="W4" s="1"/>
      <c r="X4" s="1"/>
      <c r="Y4" s="1"/>
      <c r="Z4" s="1"/>
    </row>
    <row r="5" ht="30.75" customHeight="1">
      <c r="A5" s="1"/>
      <c r="B5" s="128" t="s">
        <v>69</v>
      </c>
      <c r="C5" s="129"/>
      <c r="D5" s="130" t="s">
        <v>70</v>
      </c>
      <c r="F5" s="1"/>
      <c r="G5" s="1"/>
      <c r="H5" s="1"/>
      <c r="I5" s="1"/>
      <c r="J5" s="1"/>
      <c r="K5" s="1"/>
      <c r="L5" s="1"/>
      <c r="M5" s="1"/>
      <c r="N5" s="1"/>
      <c r="O5" s="1"/>
      <c r="P5" s="1"/>
      <c r="Q5" s="1"/>
      <c r="R5" s="1"/>
      <c r="S5" s="1"/>
      <c r="T5" s="1"/>
      <c r="U5" s="1"/>
      <c r="V5" s="1"/>
      <c r="W5" s="1"/>
      <c r="X5" s="1"/>
      <c r="Y5" s="1"/>
      <c r="Z5" s="1"/>
    </row>
    <row r="6" ht="14.25" customHeight="1">
      <c r="A6" s="1"/>
      <c r="B6" s="1"/>
      <c r="C6" s="1"/>
      <c r="D6" s="1"/>
      <c r="E6" s="1"/>
      <c r="F6" s="1"/>
      <c r="G6" s="1"/>
      <c r="H6" s="1"/>
      <c r="I6" s="1"/>
      <c r="J6" s="1"/>
      <c r="K6" s="1"/>
      <c r="L6" s="1"/>
      <c r="M6" s="1"/>
      <c r="N6" s="1"/>
      <c r="O6" s="1"/>
      <c r="P6" s="1"/>
      <c r="Q6" s="1"/>
      <c r="R6" s="1"/>
      <c r="S6" s="1"/>
      <c r="T6" s="1"/>
      <c r="U6" s="1"/>
      <c r="V6" s="1"/>
      <c r="W6" s="1"/>
      <c r="X6" s="1"/>
      <c r="Y6" s="1"/>
      <c r="Z6" s="1"/>
    </row>
    <row r="7" ht="30.0" customHeight="1">
      <c r="A7" s="1"/>
      <c r="B7" s="131" t="s">
        <v>71</v>
      </c>
      <c r="C7" s="132" t="s">
        <v>72</v>
      </c>
      <c r="D7" s="132" t="s">
        <v>73</v>
      </c>
      <c r="E7" s="133" t="s">
        <v>74</v>
      </c>
      <c r="F7" s="1"/>
      <c r="G7" s="1"/>
      <c r="H7" s="1"/>
      <c r="I7" s="1"/>
      <c r="J7" s="1"/>
      <c r="K7" s="1"/>
      <c r="L7" s="1"/>
      <c r="M7" s="1"/>
      <c r="N7" s="1"/>
      <c r="O7" s="1"/>
      <c r="P7" s="1"/>
      <c r="Q7" s="1"/>
      <c r="R7" s="1"/>
      <c r="S7" s="1"/>
      <c r="T7" s="1"/>
      <c r="U7" s="1"/>
      <c r="V7" s="1"/>
      <c r="W7" s="1"/>
      <c r="X7" s="1"/>
      <c r="Y7" s="1"/>
      <c r="Z7" s="1"/>
    </row>
    <row r="8" ht="33.0" customHeight="1">
      <c r="A8" s="1"/>
      <c r="B8" s="134">
        <v>1.0</v>
      </c>
      <c r="C8" s="135" t="s">
        <v>75</v>
      </c>
      <c r="D8" s="136">
        <v>46206.0</v>
      </c>
      <c r="E8" s="137">
        <v>46206.0</v>
      </c>
      <c r="F8" s="1"/>
      <c r="G8" s="1"/>
      <c r="H8" s="1"/>
      <c r="I8" s="1"/>
      <c r="J8" s="1"/>
      <c r="K8" s="1"/>
      <c r="L8" s="1"/>
      <c r="M8" s="1"/>
      <c r="N8" s="1"/>
      <c r="O8" s="1"/>
      <c r="P8" s="1"/>
      <c r="Q8" s="1"/>
      <c r="R8" s="1"/>
      <c r="S8" s="1"/>
      <c r="T8" s="1"/>
      <c r="U8" s="1"/>
      <c r="V8" s="1"/>
      <c r="W8" s="1"/>
      <c r="X8" s="1"/>
      <c r="Y8" s="1"/>
      <c r="Z8" s="1"/>
    </row>
    <row r="9" ht="303.75" customHeight="1">
      <c r="A9" s="1"/>
      <c r="B9" s="138"/>
      <c r="C9" s="139" t="str">
        <f>IF('5. Area Habitats'!D11=0,"",'5. Area Habitats'!D11)</f>
        <v>Developed land; sealed surface</v>
      </c>
      <c r="D9" s="140" t="e">
        <v>#VALUE!</v>
      </c>
      <c r="E9" s="141" t="e">
        <v>#VALUE!</v>
      </c>
      <c r="F9" s="1"/>
      <c r="G9" s="1"/>
      <c r="H9" s="1"/>
      <c r="I9" s="1"/>
      <c r="J9" s="1"/>
      <c r="K9" s="142"/>
      <c r="L9" s="142"/>
      <c r="M9" s="142"/>
      <c r="N9" s="142"/>
      <c r="O9" s="142"/>
      <c r="P9" s="142"/>
      <c r="Q9" s="142"/>
      <c r="R9" s="142"/>
      <c r="S9" s="142"/>
      <c r="T9" s="142"/>
      <c r="U9" s="142"/>
      <c r="V9" s="142"/>
      <c r="W9" s="142"/>
      <c r="X9" s="142"/>
      <c r="Y9" s="142"/>
      <c r="Z9" s="142"/>
    </row>
    <row r="10" ht="33.0" customHeight="1">
      <c r="A10" s="1"/>
      <c r="B10" s="134">
        <v>2.0</v>
      </c>
      <c r="C10" s="135" t="s">
        <v>75</v>
      </c>
      <c r="D10" s="136">
        <v>46206.0</v>
      </c>
      <c r="E10" s="137">
        <v>46206.0</v>
      </c>
      <c r="F10" s="1"/>
      <c r="G10" s="1"/>
      <c r="H10" s="1"/>
      <c r="I10" s="1"/>
      <c r="J10" s="1"/>
      <c r="K10" s="142"/>
      <c r="L10" s="142"/>
      <c r="M10" s="142"/>
      <c r="N10" s="142"/>
      <c r="O10" s="142"/>
      <c r="P10" s="142"/>
      <c r="Q10" s="142"/>
      <c r="R10" s="142"/>
      <c r="S10" s="142"/>
      <c r="T10" s="142"/>
      <c r="U10" s="142"/>
      <c r="V10" s="142"/>
      <c r="W10" s="142"/>
      <c r="X10" s="142"/>
      <c r="Y10" s="142"/>
      <c r="Z10" s="142"/>
    </row>
    <row r="11" ht="303.75" customHeight="1">
      <c r="A11" s="1"/>
      <c r="B11" s="138"/>
      <c r="C11" s="139" t="str">
        <f>IF('5. Area Habitats'!D12=0,"",'5. Area Habitats'!D12)</f>
        <v>Vegetated garden</v>
      </c>
      <c r="D11" s="140" t="e">
        <v>#VALUE!</v>
      </c>
      <c r="E11" s="141" t="e">
        <v>#VALUE!</v>
      </c>
      <c r="F11" s="1"/>
      <c r="G11" s="1"/>
      <c r="H11" s="1"/>
      <c r="I11" s="1"/>
      <c r="J11" s="1"/>
      <c r="K11" s="142"/>
      <c r="L11" s="142"/>
      <c r="M11" s="142"/>
      <c r="N11" s="142"/>
      <c r="O11" s="142"/>
      <c r="P11" s="142"/>
      <c r="Q11" s="142"/>
      <c r="R11" s="142"/>
      <c r="S11" s="142"/>
      <c r="T11" s="142"/>
      <c r="U11" s="142"/>
      <c r="V11" s="142"/>
      <c r="W11" s="142"/>
      <c r="X11" s="142"/>
      <c r="Y11" s="142"/>
      <c r="Z11" s="142"/>
    </row>
    <row r="12" ht="33.0" customHeight="1">
      <c r="A12" s="1"/>
      <c r="B12" s="134">
        <v>3.0</v>
      </c>
      <c r="C12" s="135" t="s">
        <v>75</v>
      </c>
      <c r="D12" s="136">
        <v>46206.0</v>
      </c>
      <c r="E12" s="137">
        <v>46206.0</v>
      </c>
      <c r="F12" s="1"/>
      <c r="G12" s="1"/>
      <c r="H12" s="1"/>
      <c r="I12" s="1"/>
      <c r="J12" s="1"/>
      <c r="K12" s="142"/>
      <c r="L12" s="142"/>
      <c r="M12" s="142"/>
      <c r="N12" s="142"/>
      <c r="O12" s="142"/>
      <c r="P12" s="142"/>
      <c r="Q12" s="142"/>
      <c r="R12" s="142"/>
      <c r="S12" s="142"/>
      <c r="T12" s="142"/>
      <c r="U12" s="142"/>
      <c r="V12" s="142"/>
      <c r="W12" s="142"/>
      <c r="X12" s="142"/>
      <c r="Y12" s="142"/>
      <c r="Z12" s="142"/>
    </row>
    <row r="13" ht="303.75" customHeight="1">
      <c r="A13" s="1"/>
      <c r="B13" s="138"/>
      <c r="C13" s="139" t="str">
        <f>IF('5. Area Habitats'!D13=0,"",'5. Area Habitats'!D13)</f>
        <v>Bramble scrub</v>
      </c>
      <c r="D13" s="140" t="e">
        <v>#VALUE!</v>
      </c>
      <c r="E13" s="141" t="e">
        <v>#VALUE!</v>
      </c>
      <c r="F13" s="1"/>
      <c r="G13" s="1"/>
      <c r="H13" s="1"/>
      <c r="I13" s="1"/>
      <c r="J13" s="1"/>
      <c r="K13" s="142"/>
      <c r="L13" s="142"/>
      <c r="M13" s="142"/>
      <c r="N13" s="142"/>
      <c r="O13" s="142"/>
      <c r="P13" s="142"/>
      <c r="Q13" s="142"/>
      <c r="R13" s="142"/>
      <c r="S13" s="142"/>
      <c r="T13" s="142"/>
      <c r="U13" s="142"/>
      <c r="V13" s="142"/>
      <c r="W13" s="142"/>
      <c r="X13" s="142"/>
      <c r="Y13" s="142"/>
      <c r="Z13" s="142"/>
    </row>
    <row r="14" ht="33.0" customHeight="1">
      <c r="A14" s="1"/>
      <c r="B14" s="143">
        <v>4.0</v>
      </c>
      <c r="C14" s="135" t="s">
        <v>75</v>
      </c>
      <c r="D14" s="144"/>
      <c r="E14" s="145"/>
      <c r="F14" s="1"/>
      <c r="G14" s="1"/>
      <c r="H14" s="1"/>
      <c r="I14" s="1"/>
      <c r="J14" s="1"/>
      <c r="K14" s="142"/>
      <c r="L14" s="142"/>
      <c r="M14" s="142"/>
      <c r="N14" s="142"/>
      <c r="O14" s="142"/>
      <c r="P14" s="142"/>
      <c r="Q14" s="142"/>
      <c r="R14" s="142"/>
      <c r="S14" s="142"/>
      <c r="T14" s="142"/>
      <c r="U14" s="142"/>
      <c r="V14" s="142"/>
      <c r="W14" s="142"/>
      <c r="X14" s="142"/>
      <c r="Y14" s="142"/>
      <c r="Z14" s="142"/>
    </row>
    <row r="15" ht="303.75" customHeight="1">
      <c r="A15" s="1"/>
      <c r="B15" s="146"/>
      <c r="C15" s="147" t="str">
        <f>IF('5. Area Habitats'!D14=0,"",'5. Area Habitats'!D14)</f>
        <v/>
      </c>
      <c r="D15" s="148"/>
      <c r="E15" s="149"/>
      <c r="F15" s="1"/>
      <c r="G15" s="1"/>
      <c r="H15" s="1"/>
      <c r="I15" s="1"/>
      <c r="J15" s="1"/>
      <c r="K15" s="142"/>
      <c r="L15" s="142"/>
      <c r="M15" s="142"/>
      <c r="N15" s="142"/>
      <c r="O15" s="142"/>
      <c r="P15" s="142"/>
      <c r="Q15" s="142"/>
      <c r="R15" s="142"/>
      <c r="S15" s="142"/>
      <c r="T15" s="142"/>
      <c r="U15" s="142"/>
      <c r="V15" s="142"/>
      <c r="W15" s="142"/>
      <c r="X15" s="142"/>
      <c r="Y15" s="142"/>
      <c r="Z15" s="142"/>
    </row>
    <row r="16" ht="33.0" customHeight="1">
      <c r="A16" s="1"/>
      <c r="B16" s="134">
        <v>5.0</v>
      </c>
      <c r="C16" s="135" t="s">
        <v>75</v>
      </c>
      <c r="D16" s="136"/>
      <c r="E16" s="137"/>
      <c r="F16" s="1"/>
      <c r="G16" s="1"/>
      <c r="H16" s="1"/>
      <c r="I16" s="1"/>
      <c r="J16" s="1"/>
      <c r="K16" s="142"/>
      <c r="L16" s="142"/>
      <c r="M16" s="142"/>
      <c r="N16" s="142"/>
      <c r="O16" s="142"/>
      <c r="P16" s="142"/>
      <c r="Q16" s="142"/>
      <c r="R16" s="142"/>
      <c r="S16" s="142"/>
      <c r="T16" s="142"/>
      <c r="U16" s="142"/>
      <c r="V16" s="142"/>
      <c r="W16" s="142"/>
      <c r="X16" s="142"/>
      <c r="Y16" s="142"/>
      <c r="Z16" s="142"/>
    </row>
    <row r="17" ht="303.75" customHeight="1">
      <c r="A17" s="1"/>
      <c r="B17" s="138"/>
      <c r="C17" s="139" t="str">
        <f>IF('5. Area Habitats'!D15=0,"",'5. Area Habitats'!D15)</f>
        <v/>
      </c>
      <c r="D17" s="140"/>
      <c r="E17" s="141"/>
      <c r="F17" s="1"/>
      <c r="G17" s="1"/>
      <c r="H17" s="1"/>
      <c r="I17" s="1"/>
      <c r="J17" s="1"/>
      <c r="K17" s="142"/>
      <c r="L17" s="142"/>
      <c r="M17" s="142"/>
      <c r="N17" s="142"/>
      <c r="O17" s="142"/>
      <c r="P17" s="142"/>
      <c r="Q17" s="142"/>
      <c r="R17" s="142"/>
      <c r="S17" s="142"/>
      <c r="T17" s="142"/>
      <c r="U17" s="142"/>
      <c r="V17" s="142"/>
      <c r="W17" s="142"/>
      <c r="X17" s="142"/>
      <c r="Y17" s="142"/>
      <c r="Z17" s="142"/>
    </row>
    <row r="18" ht="33.0" customHeight="1">
      <c r="A18" s="1"/>
      <c r="B18" s="134">
        <v>6.0</v>
      </c>
      <c r="C18" s="135" t="s">
        <v>75</v>
      </c>
      <c r="D18" s="136"/>
      <c r="E18" s="137"/>
      <c r="F18" s="1"/>
      <c r="G18" s="1"/>
      <c r="H18" s="1"/>
      <c r="I18" s="1"/>
      <c r="J18" s="1"/>
      <c r="K18" s="142"/>
      <c r="L18" s="142"/>
      <c r="M18" s="142"/>
      <c r="N18" s="142"/>
      <c r="O18" s="142"/>
      <c r="P18" s="142"/>
      <c r="Q18" s="142"/>
      <c r="R18" s="142"/>
      <c r="S18" s="142"/>
      <c r="T18" s="142"/>
      <c r="U18" s="142"/>
      <c r="V18" s="142"/>
      <c r="W18" s="142"/>
      <c r="X18" s="142"/>
      <c r="Y18" s="142"/>
      <c r="Z18" s="142"/>
    </row>
    <row r="19" ht="303.75" customHeight="1">
      <c r="A19" s="1"/>
      <c r="B19" s="138"/>
      <c r="C19" s="139" t="str">
        <f>IF('5. Area Habitats'!D16=0,"",'5. Area Habitats'!D16)</f>
        <v/>
      </c>
      <c r="D19" s="140"/>
      <c r="E19" s="141"/>
      <c r="F19" s="1"/>
      <c r="G19" s="1"/>
      <c r="H19" s="1"/>
      <c r="I19" s="1"/>
      <c r="J19" s="1"/>
      <c r="K19" s="142"/>
      <c r="L19" s="142"/>
      <c r="M19" s="142"/>
      <c r="N19" s="142"/>
      <c r="O19" s="142"/>
      <c r="P19" s="142"/>
      <c r="Q19" s="142"/>
      <c r="R19" s="142"/>
      <c r="S19" s="142"/>
      <c r="T19" s="142"/>
      <c r="U19" s="142"/>
      <c r="V19" s="142"/>
      <c r="W19" s="142"/>
      <c r="X19" s="142"/>
      <c r="Y19" s="142"/>
      <c r="Z19" s="142"/>
    </row>
    <row r="20" ht="33.0" customHeight="1">
      <c r="A20" s="1"/>
      <c r="B20" s="134">
        <v>7.0</v>
      </c>
      <c r="C20" s="135" t="s">
        <v>75</v>
      </c>
      <c r="D20" s="136"/>
      <c r="E20" s="137"/>
      <c r="F20" s="1"/>
      <c r="G20" s="1"/>
      <c r="H20" s="1"/>
      <c r="I20" s="1"/>
      <c r="J20" s="1"/>
      <c r="K20" s="142"/>
      <c r="L20" s="142"/>
      <c r="M20" s="142"/>
      <c r="N20" s="142"/>
      <c r="O20" s="142"/>
      <c r="P20" s="142"/>
      <c r="Q20" s="142"/>
      <c r="R20" s="142"/>
      <c r="S20" s="142"/>
      <c r="T20" s="142"/>
      <c r="U20" s="142"/>
      <c r="V20" s="142"/>
      <c r="W20" s="142"/>
      <c r="X20" s="142"/>
      <c r="Y20" s="142"/>
      <c r="Z20" s="142"/>
    </row>
    <row r="21" ht="303.75" customHeight="1">
      <c r="A21" s="1"/>
      <c r="B21" s="138"/>
      <c r="C21" s="139" t="str">
        <f>IF('5. Area Habitats'!D17=0,"",'5. Area Habitats'!D17)</f>
        <v/>
      </c>
      <c r="D21" s="140"/>
      <c r="E21" s="141"/>
      <c r="F21" s="1"/>
      <c r="G21" s="1"/>
      <c r="H21" s="1"/>
      <c r="I21" s="1"/>
      <c r="J21" s="1"/>
      <c r="K21" s="142"/>
      <c r="L21" s="142"/>
      <c r="M21" s="142"/>
      <c r="N21" s="142"/>
      <c r="O21" s="142"/>
      <c r="P21" s="142"/>
      <c r="Q21" s="142"/>
      <c r="R21" s="142"/>
      <c r="S21" s="142"/>
      <c r="T21" s="142"/>
      <c r="U21" s="142"/>
      <c r="V21" s="142"/>
      <c r="W21" s="142"/>
      <c r="X21" s="142"/>
      <c r="Y21" s="142"/>
      <c r="Z21" s="142"/>
    </row>
    <row r="22" ht="33.0" customHeight="1">
      <c r="A22" s="1"/>
      <c r="B22" s="134">
        <v>8.0</v>
      </c>
      <c r="C22" s="135" t="s">
        <v>75</v>
      </c>
      <c r="D22" s="136"/>
      <c r="E22" s="137"/>
      <c r="F22" s="1"/>
      <c r="G22" s="1"/>
      <c r="H22" s="1"/>
      <c r="I22" s="1"/>
      <c r="J22" s="1"/>
      <c r="K22" s="142"/>
      <c r="L22" s="142"/>
      <c r="M22" s="142"/>
      <c r="N22" s="142"/>
      <c r="O22" s="142"/>
      <c r="P22" s="142"/>
      <c r="Q22" s="142"/>
      <c r="R22" s="142"/>
      <c r="S22" s="142"/>
      <c r="T22" s="142"/>
      <c r="U22" s="142"/>
      <c r="V22" s="142"/>
      <c r="W22" s="142"/>
      <c r="X22" s="142"/>
      <c r="Y22" s="142"/>
      <c r="Z22" s="142"/>
    </row>
    <row r="23" ht="303.75" customHeight="1">
      <c r="A23" s="1"/>
      <c r="B23" s="138"/>
      <c r="C23" s="139" t="str">
        <f>IF('5. Area Habitats'!D18=0,"",'5. Area Habitats'!D18)</f>
        <v/>
      </c>
      <c r="D23" s="140"/>
      <c r="E23" s="141"/>
      <c r="F23" s="1"/>
      <c r="G23" s="1"/>
      <c r="H23" s="1"/>
      <c r="I23" s="1"/>
      <c r="J23" s="1"/>
      <c r="K23" s="142"/>
      <c r="L23" s="142"/>
      <c r="M23" s="142"/>
      <c r="N23" s="142"/>
      <c r="O23" s="142"/>
      <c r="P23" s="142"/>
      <c r="Q23" s="142"/>
      <c r="R23" s="142"/>
      <c r="S23" s="142"/>
      <c r="T23" s="142"/>
      <c r="U23" s="142"/>
      <c r="V23" s="142"/>
      <c r="W23" s="142"/>
      <c r="X23" s="142"/>
      <c r="Y23" s="142"/>
      <c r="Z23" s="142"/>
    </row>
    <row r="24" ht="33.0" customHeight="1">
      <c r="A24" s="1"/>
      <c r="B24" s="134">
        <v>9.0</v>
      </c>
      <c r="C24" s="135" t="s">
        <v>75</v>
      </c>
      <c r="D24" s="136"/>
      <c r="E24" s="137"/>
      <c r="F24" s="1"/>
      <c r="G24" s="1"/>
      <c r="H24" s="1"/>
      <c r="I24" s="1"/>
      <c r="J24" s="1"/>
      <c r="K24" s="142"/>
      <c r="L24" s="142"/>
      <c r="M24" s="142"/>
      <c r="N24" s="142"/>
      <c r="O24" s="142"/>
      <c r="P24" s="142"/>
      <c r="Q24" s="142"/>
      <c r="R24" s="142"/>
      <c r="S24" s="142"/>
      <c r="T24" s="142"/>
      <c r="U24" s="142"/>
      <c r="V24" s="142"/>
      <c r="W24" s="142"/>
      <c r="X24" s="142"/>
      <c r="Y24" s="142"/>
      <c r="Z24" s="142"/>
    </row>
    <row r="25" ht="303.75" customHeight="1">
      <c r="A25" s="1"/>
      <c r="B25" s="138"/>
      <c r="C25" s="139" t="str">
        <f>IF('5. Area Habitats'!D19=0,"",'5. Area Habitats'!D19)</f>
        <v/>
      </c>
      <c r="D25" s="140"/>
      <c r="E25" s="141"/>
      <c r="F25" s="1"/>
      <c r="G25" s="1"/>
      <c r="H25" s="1"/>
      <c r="I25" s="1"/>
      <c r="J25" s="1"/>
      <c r="K25" s="142"/>
      <c r="L25" s="142"/>
      <c r="M25" s="142"/>
      <c r="N25" s="142"/>
      <c r="O25" s="142"/>
      <c r="P25" s="142"/>
      <c r="Q25" s="142"/>
      <c r="R25" s="142"/>
      <c r="S25" s="142"/>
      <c r="T25" s="142"/>
      <c r="U25" s="142"/>
      <c r="V25" s="142"/>
      <c r="W25" s="142"/>
      <c r="X25" s="142"/>
      <c r="Y25" s="142"/>
      <c r="Z25" s="142"/>
    </row>
    <row r="26" ht="33.0" customHeight="1">
      <c r="A26" s="1"/>
      <c r="B26" s="134">
        <v>10.0</v>
      </c>
      <c r="C26" s="135" t="s">
        <v>75</v>
      </c>
      <c r="D26" s="136"/>
      <c r="E26" s="137"/>
      <c r="F26" s="1"/>
      <c r="G26" s="1"/>
      <c r="H26" s="1"/>
      <c r="I26" s="1"/>
      <c r="J26" s="1"/>
      <c r="K26" s="142"/>
      <c r="L26" s="142"/>
      <c r="M26" s="142"/>
      <c r="N26" s="142"/>
      <c r="O26" s="142"/>
      <c r="P26" s="142"/>
      <c r="Q26" s="142"/>
      <c r="R26" s="142"/>
      <c r="S26" s="142"/>
      <c r="T26" s="142"/>
      <c r="U26" s="142"/>
      <c r="V26" s="142"/>
      <c r="W26" s="142"/>
      <c r="X26" s="142"/>
      <c r="Y26" s="142"/>
      <c r="Z26" s="142"/>
    </row>
    <row r="27" ht="303.75" customHeight="1">
      <c r="A27" s="1"/>
      <c r="B27" s="138"/>
      <c r="C27" s="139" t="str">
        <f>IF('5. Area Habitats'!D20=0,"",'5. Area Habitats'!D20)</f>
        <v/>
      </c>
      <c r="D27" s="140"/>
      <c r="E27" s="141"/>
      <c r="F27" s="1"/>
      <c r="G27" s="1"/>
      <c r="H27" s="1"/>
      <c r="I27" s="1"/>
      <c r="J27" s="1"/>
      <c r="K27" s="142"/>
      <c r="L27" s="142"/>
      <c r="M27" s="142"/>
      <c r="N27" s="142"/>
      <c r="O27" s="142"/>
      <c r="P27" s="142"/>
      <c r="Q27" s="142"/>
      <c r="R27" s="142"/>
      <c r="S27" s="142"/>
      <c r="T27" s="142"/>
      <c r="U27" s="142"/>
      <c r="V27" s="142"/>
      <c r="W27" s="142"/>
      <c r="X27" s="142"/>
      <c r="Y27" s="142"/>
      <c r="Z27" s="142"/>
    </row>
    <row r="28" ht="33.0" customHeight="1">
      <c r="A28" s="1"/>
      <c r="B28" s="134">
        <v>11.0</v>
      </c>
      <c r="C28" s="135" t="s">
        <v>75</v>
      </c>
      <c r="D28" s="136"/>
      <c r="E28" s="137"/>
      <c r="F28" s="1"/>
      <c r="G28" s="1"/>
      <c r="H28" s="1"/>
      <c r="I28" s="1"/>
      <c r="J28" s="1"/>
      <c r="K28" s="142"/>
      <c r="L28" s="142"/>
      <c r="M28" s="142"/>
      <c r="N28" s="142"/>
      <c r="O28" s="142"/>
      <c r="P28" s="142"/>
      <c r="Q28" s="142"/>
      <c r="R28" s="142"/>
      <c r="S28" s="142"/>
      <c r="T28" s="142"/>
      <c r="U28" s="142"/>
      <c r="V28" s="142"/>
      <c r="W28" s="142"/>
      <c r="X28" s="142"/>
      <c r="Y28" s="142"/>
      <c r="Z28" s="142"/>
    </row>
    <row r="29" ht="303.75" customHeight="1">
      <c r="A29" s="1"/>
      <c r="B29" s="138"/>
      <c r="C29" s="139" t="str">
        <f>IF('5. Area Habitats'!D21=0,"",'5. Area Habitats'!D21)</f>
        <v/>
      </c>
      <c r="D29" s="140"/>
      <c r="E29" s="141"/>
      <c r="F29" s="1"/>
      <c r="G29" s="1"/>
      <c r="H29" s="1"/>
      <c r="I29" s="1"/>
      <c r="J29" s="1"/>
      <c r="K29" s="142"/>
      <c r="L29" s="142"/>
      <c r="M29" s="142"/>
      <c r="N29" s="142"/>
      <c r="O29" s="142"/>
      <c r="P29" s="142"/>
      <c r="Q29" s="142"/>
      <c r="R29" s="142"/>
      <c r="S29" s="142"/>
      <c r="T29" s="142"/>
      <c r="U29" s="142"/>
      <c r="V29" s="142"/>
      <c r="W29" s="142"/>
      <c r="X29" s="142"/>
      <c r="Y29" s="142"/>
      <c r="Z29" s="142"/>
    </row>
    <row r="30" ht="33.0" customHeight="1">
      <c r="A30" s="1"/>
      <c r="B30" s="134">
        <v>12.0</v>
      </c>
      <c r="C30" s="135" t="s">
        <v>75</v>
      </c>
      <c r="D30" s="136"/>
      <c r="E30" s="137"/>
      <c r="F30" s="1"/>
      <c r="G30" s="1"/>
      <c r="H30" s="1"/>
      <c r="I30" s="1"/>
      <c r="J30" s="1"/>
      <c r="K30" s="142"/>
      <c r="L30" s="142"/>
      <c r="M30" s="142"/>
      <c r="N30" s="142"/>
      <c r="O30" s="142"/>
      <c r="P30" s="142"/>
      <c r="Q30" s="142"/>
      <c r="R30" s="142"/>
      <c r="S30" s="142"/>
      <c r="T30" s="142"/>
      <c r="U30" s="142"/>
      <c r="V30" s="142"/>
      <c r="W30" s="142"/>
      <c r="X30" s="142"/>
      <c r="Y30" s="142"/>
      <c r="Z30" s="142"/>
    </row>
    <row r="31" ht="303.75" customHeight="1">
      <c r="A31" s="1"/>
      <c r="B31" s="138"/>
      <c r="C31" s="139" t="str">
        <f>IF('5. Area Habitats'!D22=0,"",'5. Area Habitats'!D22)</f>
        <v/>
      </c>
      <c r="D31" s="140"/>
      <c r="E31" s="141"/>
      <c r="F31" s="1"/>
      <c r="G31" s="1"/>
      <c r="H31" s="1"/>
      <c r="I31" s="1"/>
      <c r="J31" s="1"/>
      <c r="K31" s="142"/>
      <c r="L31" s="142"/>
      <c r="M31" s="142"/>
      <c r="N31" s="142"/>
      <c r="O31" s="142"/>
      <c r="P31" s="142"/>
      <c r="Q31" s="142"/>
      <c r="R31" s="142"/>
      <c r="S31" s="142"/>
      <c r="T31" s="142"/>
      <c r="U31" s="142"/>
      <c r="V31" s="142"/>
      <c r="W31" s="142"/>
      <c r="X31" s="142"/>
      <c r="Y31" s="142"/>
      <c r="Z31" s="142"/>
    </row>
    <row r="32" ht="33.0" customHeight="1">
      <c r="A32" s="1"/>
      <c r="B32" s="134">
        <v>13.0</v>
      </c>
      <c r="C32" s="135" t="s">
        <v>75</v>
      </c>
      <c r="D32" s="136"/>
      <c r="E32" s="137"/>
      <c r="F32" s="1"/>
      <c r="G32" s="1"/>
      <c r="H32" s="1"/>
      <c r="I32" s="1"/>
      <c r="J32" s="1"/>
      <c r="K32" s="142"/>
      <c r="L32" s="142"/>
      <c r="M32" s="142"/>
      <c r="N32" s="142"/>
      <c r="O32" s="142"/>
      <c r="P32" s="142"/>
      <c r="Q32" s="142"/>
      <c r="R32" s="142"/>
      <c r="S32" s="142"/>
      <c r="T32" s="142"/>
      <c r="U32" s="142"/>
      <c r="V32" s="142"/>
      <c r="W32" s="142"/>
      <c r="X32" s="142"/>
      <c r="Y32" s="142"/>
      <c r="Z32" s="142"/>
    </row>
    <row r="33" ht="303.75" customHeight="1">
      <c r="A33" s="1"/>
      <c r="B33" s="138"/>
      <c r="C33" s="139" t="str">
        <f>IF('5. Area Habitats'!D23=0,"",'5. Area Habitats'!D23)</f>
        <v/>
      </c>
      <c r="D33" s="140"/>
      <c r="E33" s="141"/>
      <c r="F33" s="1"/>
      <c r="G33" s="1"/>
      <c r="H33" s="1"/>
      <c r="I33" s="1"/>
      <c r="J33" s="1"/>
      <c r="K33" s="142"/>
      <c r="L33" s="142"/>
      <c r="M33" s="142"/>
      <c r="N33" s="142"/>
      <c r="O33" s="142"/>
      <c r="P33" s="142"/>
      <c r="Q33" s="142"/>
      <c r="R33" s="142"/>
      <c r="S33" s="142"/>
      <c r="T33" s="142"/>
      <c r="U33" s="142"/>
      <c r="V33" s="142"/>
      <c r="W33" s="142"/>
      <c r="X33" s="142"/>
      <c r="Y33" s="142"/>
      <c r="Z33" s="142"/>
    </row>
    <row r="34" ht="33.0" customHeight="1">
      <c r="A34" s="1"/>
      <c r="B34" s="134">
        <v>14.0</v>
      </c>
      <c r="C34" s="135" t="s">
        <v>75</v>
      </c>
      <c r="D34" s="136"/>
      <c r="E34" s="137"/>
      <c r="F34" s="1"/>
      <c r="G34" s="1"/>
      <c r="H34" s="1"/>
      <c r="I34" s="1"/>
      <c r="J34" s="1"/>
      <c r="K34" s="142"/>
      <c r="L34" s="142"/>
      <c r="M34" s="142"/>
      <c r="N34" s="142"/>
      <c r="O34" s="142"/>
      <c r="P34" s="142"/>
      <c r="Q34" s="142"/>
      <c r="R34" s="142"/>
      <c r="S34" s="142"/>
      <c r="T34" s="142"/>
      <c r="U34" s="142"/>
      <c r="V34" s="142"/>
      <c r="W34" s="142"/>
      <c r="X34" s="142"/>
      <c r="Y34" s="142"/>
      <c r="Z34" s="142"/>
    </row>
    <row r="35" ht="303.75" customHeight="1">
      <c r="A35" s="1"/>
      <c r="B35" s="138"/>
      <c r="C35" s="139" t="str">
        <f>IF('5. Area Habitats'!D24=0,"",'5. Area Habitats'!D24)</f>
        <v/>
      </c>
      <c r="D35" s="140"/>
      <c r="E35" s="141"/>
      <c r="F35" s="1"/>
      <c r="G35" s="1"/>
      <c r="H35" s="1"/>
      <c r="I35" s="1"/>
      <c r="J35" s="1"/>
      <c r="K35" s="142"/>
      <c r="L35" s="142"/>
      <c r="M35" s="142"/>
      <c r="N35" s="142"/>
      <c r="O35" s="142"/>
      <c r="P35" s="142"/>
      <c r="Q35" s="142"/>
      <c r="R35" s="142"/>
      <c r="S35" s="142"/>
      <c r="T35" s="142"/>
      <c r="U35" s="142"/>
      <c r="V35" s="142"/>
      <c r="W35" s="142"/>
      <c r="X35" s="142"/>
      <c r="Y35" s="142"/>
      <c r="Z35" s="142"/>
    </row>
    <row r="36" ht="33.0" customHeight="1">
      <c r="A36" s="1"/>
      <c r="B36" s="134">
        <v>15.0</v>
      </c>
      <c r="C36" s="135" t="s">
        <v>75</v>
      </c>
      <c r="D36" s="136"/>
      <c r="E36" s="137"/>
      <c r="F36" s="1"/>
      <c r="G36" s="1"/>
      <c r="H36" s="1"/>
      <c r="I36" s="1"/>
      <c r="J36" s="1"/>
      <c r="K36" s="142"/>
      <c r="L36" s="142"/>
      <c r="M36" s="142"/>
      <c r="N36" s="142"/>
      <c r="O36" s="142"/>
      <c r="P36" s="142"/>
      <c r="Q36" s="142"/>
      <c r="R36" s="142"/>
      <c r="S36" s="142"/>
      <c r="T36" s="142"/>
      <c r="U36" s="142"/>
      <c r="V36" s="142"/>
      <c r="W36" s="142"/>
      <c r="X36" s="142"/>
      <c r="Y36" s="142"/>
      <c r="Z36" s="142"/>
    </row>
    <row r="37" ht="303.75" customHeight="1">
      <c r="A37" s="1"/>
      <c r="B37" s="138"/>
      <c r="C37" s="139" t="str">
        <f>IF('5. Area Habitats'!D25=0,"",'5. Area Habitats'!D25)</f>
        <v/>
      </c>
      <c r="D37" s="140"/>
      <c r="E37" s="141"/>
      <c r="F37" s="1"/>
      <c r="G37" s="1"/>
      <c r="H37" s="1"/>
      <c r="I37" s="1"/>
      <c r="J37" s="1"/>
      <c r="K37" s="142"/>
      <c r="L37" s="142"/>
      <c r="M37" s="142"/>
      <c r="N37" s="142"/>
      <c r="O37" s="142"/>
      <c r="P37" s="142"/>
      <c r="Q37" s="142"/>
      <c r="R37" s="142"/>
      <c r="S37" s="142"/>
      <c r="T37" s="142"/>
      <c r="U37" s="142"/>
      <c r="V37" s="142"/>
      <c r="W37" s="142"/>
      <c r="X37" s="142"/>
      <c r="Y37" s="142"/>
      <c r="Z37" s="142"/>
    </row>
    <row r="38" ht="33.0" customHeight="1">
      <c r="A38" s="1"/>
      <c r="B38" s="134">
        <v>16.0</v>
      </c>
      <c r="C38" s="135" t="s">
        <v>75</v>
      </c>
      <c r="D38" s="136"/>
      <c r="E38" s="137"/>
      <c r="F38" s="1"/>
      <c r="G38" s="1"/>
      <c r="H38" s="1"/>
      <c r="I38" s="1"/>
      <c r="J38" s="1"/>
      <c r="K38" s="142"/>
      <c r="L38" s="142"/>
      <c r="M38" s="142"/>
      <c r="N38" s="142"/>
      <c r="O38" s="142"/>
      <c r="P38" s="142"/>
      <c r="Q38" s="142"/>
      <c r="R38" s="142"/>
      <c r="S38" s="142"/>
      <c r="T38" s="142"/>
      <c r="U38" s="142"/>
      <c r="V38" s="142"/>
      <c r="W38" s="142"/>
      <c r="X38" s="142"/>
      <c r="Y38" s="142"/>
      <c r="Z38" s="142"/>
    </row>
    <row r="39" ht="303.75" customHeight="1">
      <c r="A39" s="1"/>
      <c r="B39" s="138"/>
      <c r="C39" s="139" t="str">
        <f>IF('5. Area Habitats'!D26=0,"",'5. Area Habitats'!D26)</f>
        <v/>
      </c>
      <c r="D39" s="140"/>
      <c r="E39" s="141"/>
      <c r="F39" s="1"/>
      <c r="G39" s="1"/>
      <c r="H39" s="1"/>
      <c r="I39" s="1"/>
      <c r="J39" s="1"/>
      <c r="K39" s="142"/>
      <c r="L39" s="142"/>
      <c r="M39" s="142"/>
      <c r="N39" s="142"/>
      <c r="O39" s="142"/>
      <c r="P39" s="142"/>
      <c r="Q39" s="142"/>
      <c r="R39" s="142"/>
      <c r="S39" s="142"/>
      <c r="T39" s="142"/>
      <c r="U39" s="142"/>
      <c r="V39" s="142"/>
      <c r="W39" s="142"/>
      <c r="X39" s="142"/>
      <c r="Y39" s="142"/>
      <c r="Z39" s="142"/>
    </row>
    <row r="40" ht="33.0" customHeight="1">
      <c r="A40" s="1"/>
      <c r="B40" s="134">
        <v>17.0</v>
      </c>
      <c r="C40" s="135" t="s">
        <v>75</v>
      </c>
      <c r="D40" s="136"/>
      <c r="E40" s="137"/>
      <c r="F40" s="1"/>
      <c r="G40" s="1"/>
      <c r="H40" s="1"/>
      <c r="I40" s="1"/>
      <c r="J40" s="1"/>
      <c r="K40" s="142"/>
      <c r="L40" s="142"/>
      <c r="M40" s="142"/>
      <c r="N40" s="142"/>
      <c r="O40" s="142"/>
      <c r="P40" s="142"/>
      <c r="Q40" s="142"/>
      <c r="R40" s="142"/>
      <c r="S40" s="142"/>
      <c r="T40" s="142"/>
      <c r="U40" s="142"/>
      <c r="V40" s="142"/>
      <c r="W40" s="142"/>
      <c r="X40" s="142"/>
      <c r="Y40" s="142"/>
      <c r="Z40" s="142"/>
    </row>
    <row r="41" ht="303.75" customHeight="1">
      <c r="A41" s="1"/>
      <c r="B41" s="138"/>
      <c r="C41" s="139" t="str">
        <f>IF('5. Area Habitats'!D27=0,"",'5. Area Habitats'!D27)</f>
        <v/>
      </c>
      <c r="D41" s="140"/>
      <c r="E41" s="141"/>
      <c r="F41" s="1"/>
      <c r="G41" s="1"/>
      <c r="H41" s="1"/>
      <c r="I41" s="1"/>
      <c r="J41" s="1"/>
      <c r="K41" s="142"/>
      <c r="L41" s="142"/>
      <c r="M41" s="142"/>
      <c r="N41" s="142"/>
      <c r="O41" s="142"/>
      <c r="P41" s="142"/>
      <c r="Q41" s="142"/>
      <c r="R41" s="142"/>
      <c r="S41" s="142"/>
      <c r="T41" s="142"/>
      <c r="U41" s="142"/>
      <c r="V41" s="142"/>
      <c r="W41" s="142"/>
      <c r="X41" s="142"/>
      <c r="Y41" s="142"/>
      <c r="Z41" s="142"/>
    </row>
    <row r="42" ht="33.0" customHeight="1">
      <c r="A42" s="1"/>
      <c r="B42" s="134">
        <v>18.0</v>
      </c>
      <c r="C42" s="135" t="s">
        <v>75</v>
      </c>
      <c r="D42" s="136"/>
      <c r="E42" s="137"/>
      <c r="F42" s="1"/>
      <c r="G42" s="1"/>
      <c r="H42" s="1"/>
      <c r="I42" s="1"/>
      <c r="J42" s="1"/>
      <c r="K42" s="142"/>
      <c r="L42" s="142"/>
      <c r="M42" s="142"/>
      <c r="N42" s="142"/>
      <c r="O42" s="142"/>
      <c r="P42" s="142"/>
      <c r="Q42" s="142"/>
      <c r="R42" s="142"/>
      <c r="S42" s="142"/>
      <c r="T42" s="142"/>
      <c r="U42" s="142"/>
      <c r="V42" s="142"/>
      <c r="W42" s="142"/>
      <c r="X42" s="142"/>
      <c r="Y42" s="142"/>
      <c r="Z42" s="142"/>
    </row>
    <row r="43" ht="303.75" customHeight="1">
      <c r="A43" s="1"/>
      <c r="B43" s="138"/>
      <c r="C43" s="139" t="str">
        <f>IF('5. Area Habitats'!D28=0,"",'5. Area Habitats'!D28)</f>
        <v/>
      </c>
      <c r="D43" s="140"/>
      <c r="E43" s="141"/>
      <c r="F43" s="1"/>
      <c r="G43" s="1"/>
      <c r="H43" s="1"/>
      <c r="I43" s="1"/>
      <c r="J43" s="1"/>
      <c r="K43" s="142"/>
      <c r="L43" s="142"/>
      <c r="M43" s="142"/>
      <c r="N43" s="142"/>
      <c r="O43" s="142"/>
      <c r="P43" s="142"/>
      <c r="Q43" s="142"/>
      <c r="R43" s="142"/>
      <c r="S43" s="142"/>
      <c r="T43" s="142"/>
      <c r="U43" s="142"/>
      <c r="V43" s="142"/>
      <c r="W43" s="142"/>
      <c r="X43" s="142"/>
      <c r="Y43" s="142"/>
      <c r="Z43" s="142"/>
    </row>
    <row r="44" ht="33.0" customHeight="1">
      <c r="A44" s="1"/>
      <c r="B44" s="134">
        <v>19.0</v>
      </c>
      <c r="C44" s="135" t="s">
        <v>75</v>
      </c>
      <c r="D44" s="136"/>
      <c r="E44" s="137"/>
      <c r="F44" s="1"/>
      <c r="G44" s="1"/>
      <c r="H44" s="1"/>
      <c r="I44" s="1"/>
      <c r="J44" s="1"/>
      <c r="K44" s="142"/>
      <c r="L44" s="142"/>
      <c r="M44" s="142"/>
      <c r="N44" s="142"/>
      <c r="O44" s="142"/>
      <c r="P44" s="142"/>
      <c r="Q44" s="142"/>
      <c r="R44" s="142"/>
      <c r="S44" s="142"/>
      <c r="T44" s="142"/>
      <c r="U44" s="142"/>
      <c r="V44" s="142"/>
      <c r="W44" s="142"/>
      <c r="X44" s="142"/>
      <c r="Y44" s="142"/>
      <c r="Z44" s="142"/>
    </row>
    <row r="45" ht="303.75" customHeight="1">
      <c r="A45" s="1"/>
      <c r="B45" s="138"/>
      <c r="C45" s="139" t="str">
        <f>IF('5. Area Habitats'!D29=0,"",'5. Area Habitats'!D29)</f>
        <v/>
      </c>
      <c r="D45" s="140"/>
      <c r="E45" s="141"/>
      <c r="F45" s="1"/>
      <c r="G45" s="1"/>
      <c r="H45" s="1"/>
      <c r="I45" s="1"/>
      <c r="J45" s="1"/>
      <c r="K45" s="142"/>
      <c r="L45" s="142"/>
      <c r="M45" s="142"/>
      <c r="N45" s="142"/>
      <c r="O45" s="142"/>
      <c r="P45" s="142"/>
      <c r="Q45" s="142"/>
      <c r="R45" s="142"/>
      <c r="S45" s="142"/>
      <c r="T45" s="142"/>
      <c r="U45" s="142"/>
      <c r="V45" s="142"/>
      <c r="W45" s="142"/>
      <c r="X45" s="142"/>
      <c r="Y45" s="142"/>
      <c r="Z45" s="142"/>
    </row>
    <row r="46" ht="33.0" customHeight="1">
      <c r="A46" s="1"/>
      <c r="B46" s="134">
        <v>20.0</v>
      </c>
      <c r="C46" s="135" t="s">
        <v>75</v>
      </c>
      <c r="D46" s="136"/>
      <c r="E46" s="137"/>
      <c r="F46" s="1"/>
      <c r="G46" s="1"/>
      <c r="H46" s="1"/>
      <c r="I46" s="1"/>
      <c r="J46" s="1"/>
      <c r="K46" s="142"/>
      <c r="L46" s="142"/>
      <c r="M46" s="142"/>
      <c r="N46" s="142"/>
      <c r="O46" s="142"/>
      <c r="P46" s="142"/>
      <c r="Q46" s="142"/>
      <c r="R46" s="142"/>
      <c r="S46" s="142"/>
      <c r="T46" s="142"/>
      <c r="U46" s="142"/>
      <c r="V46" s="142"/>
      <c r="W46" s="142"/>
      <c r="X46" s="142"/>
      <c r="Y46" s="142"/>
      <c r="Z46" s="142"/>
    </row>
    <row r="47" ht="303.75" customHeight="1">
      <c r="A47" s="1"/>
      <c r="B47" s="138"/>
      <c r="C47" s="139" t="str">
        <f>IF('5. Area Habitats'!D30=0,"",'5. Area Habitats'!D30)</f>
        <v/>
      </c>
      <c r="D47" s="140"/>
      <c r="E47" s="141"/>
      <c r="F47" s="1"/>
      <c r="G47" s="1"/>
      <c r="H47" s="1"/>
      <c r="I47" s="1"/>
      <c r="J47" s="1"/>
      <c r="K47" s="142"/>
      <c r="L47" s="142"/>
      <c r="M47" s="142"/>
      <c r="N47" s="142"/>
      <c r="O47" s="142"/>
      <c r="P47" s="142"/>
      <c r="Q47" s="142"/>
      <c r="R47" s="142"/>
      <c r="S47" s="142"/>
      <c r="T47" s="142"/>
      <c r="U47" s="142"/>
      <c r="V47" s="142"/>
      <c r="W47" s="142"/>
      <c r="X47" s="142"/>
      <c r="Y47" s="142"/>
      <c r="Z47" s="142"/>
    </row>
    <row r="48" ht="14.25" customHeight="1">
      <c r="A48" s="1"/>
      <c r="B48" s="1"/>
      <c r="C48" s="1"/>
      <c r="D48" s="1"/>
      <c r="E48" s="1"/>
      <c r="F48" s="1"/>
      <c r="G48" s="1"/>
      <c r="H48" s="1"/>
      <c r="I48" s="1"/>
      <c r="J48" s="1"/>
      <c r="K48" s="142"/>
      <c r="L48" s="142"/>
      <c r="M48" s="142"/>
      <c r="N48" s="142"/>
      <c r="O48" s="142"/>
      <c r="P48" s="142"/>
      <c r="Q48" s="142"/>
      <c r="R48" s="142"/>
      <c r="S48" s="142"/>
      <c r="T48" s="142"/>
      <c r="U48" s="142"/>
      <c r="V48" s="142"/>
      <c r="W48" s="142"/>
      <c r="X48" s="142"/>
      <c r="Y48" s="142"/>
      <c r="Z48" s="142"/>
    </row>
    <row r="49" ht="14.25" customHeight="1">
      <c r="A49" s="1"/>
      <c r="B49" s="1"/>
      <c r="C49" s="1"/>
      <c r="D49" s="1"/>
      <c r="E49" s="1"/>
      <c r="F49" s="1"/>
      <c r="G49" s="1"/>
      <c r="H49" s="1"/>
      <c r="I49" s="1"/>
      <c r="J49" s="1"/>
      <c r="K49" s="142"/>
      <c r="L49" s="142"/>
      <c r="M49" s="142"/>
      <c r="N49" s="142"/>
      <c r="O49" s="142"/>
      <c r="P49" s="142"/>
      <c r="Q49" s="142"/>
      <c r="R49" s="142"/>
      <c r="S49" s="142"/>
      <c r="T49" s="142"/>
      <c r="U49" s="142"/>
      <c r="V49" s="142"/>
      <c r="W49" s="142"/>
      <c r="X49" s="142"/>
      <c r="Y49" s="142"/>
      <c r="Z49" s="142"/>
    </row>
    <row r="50" ht="14.25" customHeight="1">
      <c r="A50" s="1"/>
      <c r="B50" s="1"/>
      <c r="C50" s="1"/>
      <c r="D50" s="1"/>
      <c r="E50" s="1"/>
      <c r="F50" s="1"/>
      <c r="G50" s="1"/>
      <c r="H50" s="1"/>
      <c r="I50" s="1"/>
      <c r="J50" s="1"/>
      <c r="K50" s="142"/>
      <c r="L50" s="142"/>
      <c r="M50" s="142"/>
      <c r="N50" s="142"/>
      <c r="O50" s="142"/>
      <c r="P50" s="142"/>
      <c r="Q50" s="142"/>
      <c r="R50" s="142"/>
      <c r="S50" s="142"/>
      <c r="T50" s="142"/>
      <c r="U50" s="142"/>
      <c r="V50" s="142"/>
      <c r="W50" s="142"/>
      <c r="X50" s="142"/>
      <c r="Y50" s="142"/>
      <c r="Z50" s="142"/>
    </row>
    <row r="51" ht="14.25" customHeight="1">
      <c r="A51" s="1"/>
      <c r="B51" s="1"/>
      <c r="C51" s="1"/>
      <c r="D51" s="1"/>
      <c r="E51" s="1"/>
      <c r="F51" s="1"/>
      <c r="G51" s="1"/>
      <c r="H51" s="1"/>
      <c r="I51" s="1"/>
      <c r="J51" s="1"/>
      <c r="K51" s="142"/>
      <c r="L51" s="142"/>
      <c r="M51" s="142"/>
      <c r="N51" s="142"/>
      <c r="O51" s="142"/>
      <c r="P51" s="142"/>
      <c r="Q51" s="142"/>
      <c r="R51" s="142"/>
      <c r="S51" s="142"/>
      <c r="T51" s="142"/>
      <c r="U51" s="142"/>
      <c r="V51" s="142"/>
      <c r="W51" s="142"/>
      <c r="X51" s="142"/>
      <c r="Y51" s="142"/>
      <c r="Z51" s="142"/>
    </row>
    <row r="52" ht="14.25" hidden="1" customHeight="1">
      <c r="A52" s="1"/>
      <c r="B52" s="1"/>
      <c r="C52" s="1"/>
      <c r="D52" s="1"/>
      <c r="E52" s="1"/>
      <c r="F52" s="1"/>
      <c r="G52" s="1"/>
      <c r="H52" s="1"/>
      <c r="I52" s="1"/>
      <c r="J52" s="1"/>
      <c r="K52" s="142"/>
      <c r="L52" s="142"/>
      <c r="M52" s="142"/>
      <c r="N52" s="142"/>
      <c r="O52" s="142"/>
      <c r="P52" s="142"/>
      <c r="Q52" s="142"/>
      <c r="R52" s="142"/>
      <c r="S52" s="142"/>
      <c r="T52" s="142"/>
      <c r="U52" s="142"/>
      <c r="V52" s="142"/>
      <c r="W52" s="142"/>
      <c r="X52" s="142"/>
      <c r="Y52" s="142"/>
      <c r="Z52" s="142"/>
    </row>
    <row r="53" ht="14.25" hidden="1" customHeight="1">
      <c r="A53" s="1"/>
      <c r="B53" s="1"/>
      <c r="C53" s="1"/>
      <c r="D53" s="1"/>
      <c r="E53" s="1"/>
      <c r="F53" s="1"/>
      <c r="G53" s="1"/>
      <c r="H53" s="1"/>
      <c r="I53" s="1"/>
      <c r="J53" s="1"/>
      <c r="K53" s="142"/>
      <c r="L53" s="142"/>
      <c r="M53" s="142"/>
      <c r="N53" s="142"/>
      <c r="O53" s="142"/>
      <c r="P53" s="142"/>
      <c r="Q53" s="142"/>
      <c r="R53" s="142"/>
      <c r="S53" s="142"/>
      <c r="T53" s="142"/>
      <c r="U53" s="142"/>
      <c r="V53" s="142"/>
      <c r="W53" s="142"/>
      <c r="X53" s="142"/>
      <c r="Y53" s="142"/>
      <c r="Z53" s="142"/>
    </row>
    <row r="54" ht="14.25" hidden="1" customHeight="1">
      <c r="A54" s="1"/>
      <c r="B54" s="1"/>
      <c r="C54" s="1"/>
      <c r="D54" s="1"/>
      <c r="E54" s="1"/>
      <c r="F54" s="1"/>
      <c r="G54" s="1"/>
      <c r="H54" s="1"/>
      <c r="I54" s="1"/>
      <c r="J54" s="1"/>
      <c r="K54" s="142"/>
      <c r="L54" s="142"/>
      <c r="M54" s="142"/>
      <c r="N54" s="142"/>
      <c r="O54" s="142"/>
      <c r="P54" s="142"/>
      <c r="Q54" s="142"/>
      <c r="R54" s="142"/>
      <c r="S54" s="142"/>
      <c r="T54" s="142"/>
      <c r="U54" s="142"/>
      <c r="V54" s="142"/>
      <c r="W54" s="142"/>
      <c r="X54" s="142"/>
      <c r="Y54" s="142"/>
      <c r="Z54" s="142"/>
    </row>
    <row r="55" ht="14.25" hidden="1" customHeight="1">
      <c r="A55" s="1"/>
      <c r="B55" s="1"/>
      <c r="C55" s="1"/>
      <c r="D55" s="1"/>
      <c r="E55" s="1"/>
      <c r="F55" s="1"/>
      <c r="G55" s="1"/>
      <c r="H55" s="1"/>
      <c r="I55" s="1"/>
      <c r="J55" s="1"/>
      <c r="K55" s="142"/>
      <c r="L55" s="142"/>
      <c r="M55" s="142"/>
      <c r="N55" s="142"/>
      <c r="O55" s="142"/>
      <c r="P55" s="142"/>
      <c r="Q55" s="142"/>
      <c r="R55" s="142"/>
      <c r="S55" s="142"/>
      <c r="T55" s="142"/>
      <c r="U55" s="142"/>
      <c r="V55" s="142"/>
      <c r="W55" s="142"/>
      <c r="X55" s="142"/>
      <c r="Y55" s="142"/>
      <c r="Z55" s="142"/>
    </row>
    <row r="56" ht="14.25" hidden="1" customHeight="1">
      <c r="A56" s="1"/>
      <c r="B56" s="1"/>
      <c r="C56" s="1"/>
      <c r="D56" s="1"/>
      <c r="E56" s="1"/>
      <c r="F56" s="1"/>
      <c r="G56" s="1"/>
      <c r="H56" s="1"/>
      <c r="I56" s="1"/>
      <c r="J56" s="1"/>
      <c r="K56" s="142"/>
      <c r="L56" s="142"/>
      <c r="M56" s="142"/>
      <c r="N56" s="142"/>
      <c r="O56" s="142"/>
      <c r="P56" s="142"/>
      <c r="Q56" s="142"/>
      <c r="R56" s="142"/>
      <c r="S56" s="142"/>
      <c r="T56" s="142"/>
      <c r="U56" s="142"/>
      <c r="V56" s="142"/>
      <c r="W56" s="142"/>
      <c r="X56" s="142"/>
      <c r="Y56" s="142"/>
      <c r="Z56" s="142"/>
    </row>
    <row r="57" ht="14.25" hidden="1" customHeight="1">
      <c r="A57" s="1"/>
      <c r="B57" s="1"/>
      <c r="C57" s="1"/>
      <c r="D57" s="1"/>
      <c r="E57" s="1"/>
      <c r="F57" s="1"/>
      <c r="G57" s="1"/>
      <c r="H57" s="1"/>
      <c r="I57" s="1"/>
      <c r="J57" s="1"/>
      <c r="K57" s="142"/>
      <c r="L57" s="142"/>
      <c r="M57" s="142"/>
      <c r="N57" s="142"/>
      <c r="O57" s="142"/>
      <c r="P57" s="142"/>
      <c r="Q57" s="142"/>
      <c r="R57" s="142"/>
      <c r="S57" s="142"/>
      <c r="T57" s="142"/>
      <c r="U57" s="142"/>
      <c r="V57" s="142"/>
      <c r="W57" s="142"/>
      <c r="X57" s="142"/>
      <c r="Y57" s="142"/>
      <c r="Z57" s="142"/>
    </row>
    <row r="58" ht="14.25" hidden="1" customHeight="1">
      <c r="A58" s="1"/>
      <c r="B58" s="1"/>
      <c r="C58" s="1"/>
      <c r="D58" s="1"/>
      <c r="E58" s="1"/>
      <c r="F58" s="1"/>
      <c r="G58" s="1"/>
      <c r="H58" s="1"/>
      <c r="I58" s="1"/>
      <c r="J58" s="1"/>
      <c r="K58" s="142"/>
      <c r="L58" s="142"/>
      <c r="M58" s="142"/>
      <c r="N58" s="142"/>
      <c r="O58" s="142"/>
      <c r="P58" s="142"/>
      <c r="Q58" s="142"/>
      <c r="R58" s="142"/>
      <c r="S58" s="142"/>
      <c r="T58" s="142"/>
      <c r="U58" s="142"/>
      <c r="V58" s="142"/>
      <c r="W58" s="142"/>
      <c r="X58" s="142"/>
      <c r="Y58" s="142"/>
      <c r="Z58" s="142"/>
    </row>
    <row r="59" ht="14.25" hidden="1" customHeight="1">
      <c r="A59" s="1"/>
      <c r="B59" s="1"/>
      <c r="C59" s="1"/>
      <c r="D59" s="1"/>
      <c r="E59" s="1"/>
      <c r="F59" s="1"/>
      <c r="G59" s="1"/>
      <c r="H59" s="1"/>
      <c r="I59" s="1"/>
      <c r="J59" s="1"/>
      <c r="K59" s="142"/>
      <c r="L59" s="142"/>
      <c r="M59" s="142"/>
      <c r="N59" s="142"/>
      <c r="O59" s="142"/>
      <c r="P59" s="142"/>
      <c r="Q59" s="142"/>
      <c r="R59" s="142"/>
      <c r="S59" s="142"/>
      <c r="T59" s="142"/>
      <c r="U59" s="142"/>
      <c r="V59" s="142"/>
      <c r="W59" s="142"/>
      <c r="X59" s="142"/>
      <c r="Y59" s="142"/>
      <c r="Z59" s="142"/>
    </row>
    <row r="60" ht="14.25" hidden="1" customHeight="1">
      <c r="A60" s="1"/>
      <c r="B60" s="1"/>
      <c r="C60" s="1"/>
      <c r="D60" s="1"/>
      <c r="E60" s="1"/>
      <c r="F60" s="1"/>
      <c r="G60" s="1"/>
      <c r="H60" s="1"/>
      <c r="I60" s="1"/>
      <c r="J60" s="1"/>
      <c r="K60" s="142"/>
      <c r="L60" s="142"/>
      <c r="M60" s="142"/>
      <c r="N60" s="142"/>
      <c r="O60" s="142"/>
      <c r="P60" s="142"/>
      <c r="Q60" s="142"/>
      <c r="R60" s="142"/>
      <c r="S60" s="142"/>
      <c r="T60" s="142"/>
      <c r="U60" s="142"/>
      <c r="V60" s="142"/>
      <c r="W60" s="142"/>
      <c r="X60" s="142"/>
      <c r="Y60" s="142"/>
      <c r="Z60" s="142"/>
    </row>
    <row r="61" ht="14.25" hidden="1" customHeight="1">
      <c r="A61" s="1"/>
      <c r="B61" s="1"/>
      <c r="C61" s="1"/>
      <c r="D61" s="1"/>
      <c r="E61" s="1"/>
      <c r="F61" s="1"/>
      <c r="G61" s="1"/>
      <c r="H61" s="1"/>
      <c r="I61" s="1"/>
      <c r="J61" s="1"/>
      <c r="K61" s="142"/>
      <c r="L61" s="142"/>
      <c r="M61" s="142"/>
      <c r="N61" s="142"/>
      <c r="O61" s="142"/>
      <c r="P61" s="142"/>
      <c r="Q61" s="142"/>
      <c r="R61" s="142"/>
      <c r="S61" s="142"/>
      <c r="T61" s="142"/>
      <c r="U61" s="142"/>
      <c r="V61" s="142"/>
      <c r="W61" s="142"/>
      <c r="X61" s="142"/>
      <c r="Y61" s="142"/>
      <c r="Z61" s="142"/>
    </row>
    <row r="62" ht="14.25" hidden="1" customHeight="1">
      <c r="A62" s="1"/>
      <c r="B62" s="1"/>
      <c r="C62" s="1"/>
      <c r="D62" s="1"/>
      <c r="E62" s="1"/>
      <c r="F62" s="1"/>
      <c r="G62" s="1"/>
      <c r="H62" s="1"/>
      <c r="I62" s="1"/>
      <c r="J62" s="1"/>
      <c r="K62" s="142"/>
      <c r="L62" s="142"/>
      <c r="M62" s="142"/>
      <c r="N62" s="142"/>
      <c r="O62" s="142"/>
      <c r="P62" s="142"/>
      <c r="Q62" s="142"/>
      <c r="R62" s="142"/>
      <c r="S62" s="142"/>
      <c r="T62" s="142"/>
      <c r="U62" s="142"/>
      <c r="V62" s="142"/>
      <c r="W62" s="142"/>
      <c r="X62" s="142"/>
      <c r="Y62" s="142"/>
      <c r="Z62" s="142"/>
    </row>
    <row r="63" ht="14.25" hidden="1" customHeight="1">
      <c r="A63" s="1"/>
      <c r="B63" s="1"/>
      <c r="C63" s="1"/>
      <c r="D63" s="1"/>
      <c r="E63" s="1"/>
      <c r="F63" s="1"/>
      <c r="G63" s="1"/>
      <c r="H63" s="1"/>
      <c r="I63" s="1"/>
      <c r="J63" s="1"/>
      <c r="K63" s="142"/>
      <c r="L63" s="142"/>
      <c r="M63" s="142"/>
      <c r="N63" s="142"/>
      <c r="O63" s="142"/>
      <c r="P63" s="142"/>
      <c r="Q63" s="142"/>
      <c r="R63" s="142"/>
      <c r="S63" s="142"/>
      <c r="T63" s="142"/>
      <c r="U63" s="142"/>
      <c r="V63" s="142"/>
      <c r="W63" s="142"/>
      <c r="X63" s="142"/>
      <c r="Y63" s="142"/>
      <c r="Z63" s="142"/>
    </row>
    <row r="64" ht="14.25" hidden="1" customHeight="1">
      <c r="A64" s="1"/>
      <c r="B64" s="1"/>
      <c r="C64" s="1"/>
      <c r="D64" s="1"/>
      <c r="E64" s="1"/>
      <c r="F64" s="1"/>
      <c r="G64" s="1"/>
      <c r="H64" s="1"/>
      <c r="I64" s="1"/>
      <c r="J64" s="1"/>
      <c r="K64" s="142"/>
      <c r="L64" s="142"/>
      <c r="M64" s="142"/>
      <c r="N64" s="142"/>
      <c r="O64" s="142"/>
      <c r="P64" s="142"/>
      <c r="Q64" s="142"/>
      <c r="R64" s="142"/>
      <c r="S64" s="142"/>
      <c r="T64" s="142"/>
      <c r="U64" s="142"/>
      <c r="V64" s="142"/>
      <c r="W64" s="142"/>
      <c r="X64" s="142"/>
      <c r="Y64" s="142"/>
      <c r="Z64" s="142"/>
    </row>
    <row r="65" ht="14.25" hidden="1" customHeight="1">
      <c r="A65" s="1"/>
      <c r="B65" s="1"/>
      <c r="C65" s="1"/>
      <c r="D65" s="1"/>
      <c r="E65" s="1"/>
      <c r="F65" s="1"/>
      <c r="G65" s="1"/>
      <c r="H65" s="1"/>
      <c r="I65" s="1"/>
      <c r="J65" s="1"/>
      <c r="K65" s="142"/>
      <c r="L65" s="142"/>
      <c r="M65" s="142"/>
      <c r="N65" s="142"/>
      <c r="O65" s="142"/>
      <c r="P65" s="142"/>
      <c r="Q65" s="142"/>
      <c r="R65" s="142"/>
      <c r="S65" s="142"/>
      <c r="T65" s="142"/>
      <c r="U65" s="142"/>
      <c r="V65" s="142"/>
      <c r="W65" s="142"/>
      <c r="X65" s="142"/>
      <c r="Y65" s="142"/>
      <c r="Z65" s="142"/>
    </row>
    <row r="66" ht="14.25" hidden="1" customHeight="1">
      <c r="A66" s="1"/>
      <c r="B66" s="1"/>
      <c r="C66" s="1"/>
      <c r="D66" s="1"/>
      <c r="E66" s="1"/>
      <c r="F66" s="1"/>
      <c r="G66" s="1"/>
      <c r="H66" s="1"/>
      <c r="I66" s="1"/>
      <c r="J66" s="1"/>
      <c r="K66" s="142"/>
      <c r="L66" s="142"/>
      <c r="M66" s="142"/>
      <c r="N66" s="142"/>
      <c r="O66" s="142"/>
      <c r="P66" s="142"/>
      <c r="Q66" s="142"/>
      <c r="R66" s="142"/>
      <c r="S66" s="142"/>
      <c r="T66" s="142"/>
      <c r="U66" s="142"/>
      <c r="V66" s="142"/>
      <c r="W66" s="142"/>
      <c r="X66" s="142"/>
      <c r="Y66" s="142"/>
      <c r="Z66" s="142"/>
    </row>
    <row r="67" ht="14.25" hidden="1" customHeight="1">
      <c r="A67" s="1"/>
      <c r="B67" s="1"/>
      <c r="C67" s="1"/>
      <c r="D67" s="1"/>
      <c r="E67" s="1"/>
      <c r="F67" s="1"/>
      <c r="G67" s="1"/>
      <c r="H67" s="1"/>
      <c r="I67" s="1"/>
      <c r="J67" s="1"/>
      <c r="K67" s="142"/>
      <c r="L67" s="142"/>
      <c r="M67" s="142"/>
      <c r="N67" s="142"/>
      <c r="O67" s="142"/>
      <c r="P67" s="142"/>
      <c r="Q67" s="142"/>
      <c r="R67" s="142"/>
      <c r="S67" s="142"/>
      <c r="T67" s="142"/>
      <c r="U67" s="142"/>
      <c r="V67" s="142"/>
      <c r="W67" s="142"/>
      <c r="X67" s="142"/>
      <c r="Y67" s="142"/>
      <c r="Z67" s="142"/>
    </row>
    <row r="68" ht="14.25" hidden="1" customHeight="1">
      <c r="A68" s="1"/>
      <c r="B68" s="1"/>
      <c r="C68" s="1"/>
      <c r="D68" s="1"/>
      <c r="E68" s="1"/>
      <c r="F68" s="1"/>
      <c r="G68" s="1"/>
      <c r="H68" s="1"/>
      <c r="I68" s="1"/>
      <c r="J68" s="1"/>
      <c r="K68" s="142"/>
      <c r="L68" s="142"/>
      <c r="M68" s="142"/>
      <c r="N68" s="142"/>
      <c r="O68" s="142"/>
      <c r="P68" s="142"/>
      <c r="Q68" s="142"/>
      <c r="R68" s="142"/>
      <c r="S68" s="142"/>
      <c r="T68" s="142"/>
      <c r="U68" s="142"/>
      <c r="V68" s="142"/>
      <c r="W68" s="142"/>
      <c r="X68" s="142"/>
      <c r="Y68" s="142"/>
      <c r="Z68" s="142"/>
    </row>
    <row r="69" ht="14.25" hidden="1" customHeight="1">
      <c r="A69" s="1"/>
      <c r="B69" s="1"/>
      <c r="C69" s="1"/>
      <c r="D69" s="1"/>
      <c r="E69" s="1"/>
      <c r="F69" s="1"/>
      <c r="G69" s="1"/>
      <c r="H69" s="1"/>
      <c r="I69" s="1"/>
      <c r="J69" s="1"/>
      <c r="K69" s="142"/>
      <c r="L69" s="142"/>
      <c r="M69" s="142"/>
      <c r="N69" s="142"/>
      <c r="O69" s="142"/>
      <c r="P69" s="142"/>
      <c r="Q69" s="142"/>
      <c r="R69" s="142"/>
      <c r="S69" s="142"/>
      <c r="T69" s="142"/>
      <c r="U69" s="142"/>
      <c r="V69" s="142"/>
      <c r="W69" s="142"/>
      <c r="X69" s="142"/>
      <c r="Y69" s="142"/>
      <c r="Z69" s="142"/>
    </row>
    <row r="70" ht="14.25" hidden="1" customHeight="1">
      <c r="A70" s="1"/>
      <c r="B70" s="1"/>
      <c r="C70" s="1"/>
      <c r="D70" s="1"/>
      <c r="E70" s="1"/>
      <c r="F70" s="1"/>
      <c r="G70" s="1"/>
      <c r="H70" s="1"/>
      <c r="I70" s="1"/>
      <c r="J70" s="1"/>
      <c r="K70" s="142"/>
      <c r="L70" s="142"/>
      <c r="M70" s="142"/>
      <c r="N70" s="142"/>
      <c r="O70" s="142"/>
      <c r="P70" s="142"/>
      <c r="Q70" s="142"/>
      <c r="R70" s="142"/>
      <c r="S70" s="142"/>
      <c r="T70" s="142"/>
      <c r="U70" s="142"/>
      <c r="V70" s="142"/>
      <c r="W70" s="142"/>
      <c r="X70" s="142"/>
      <c r="Y70" s="142"/>
      <c r="Z70" s="142"/>
    </row>
    <row r="71" ht="14.25" hidden="1" customHeight="1">
      <c r="A71" s="1"/>
      <c r="B71" s="1"/>
      <c r="C71" s="1"/>
      <c r="D71" s="1"/>
      <c r="E71" s="1"/>
      <c r="F71" s="1"/>
      <c r="G71" s="1"/>
      <c r="H71" s="1"/>
      <c r="I71" s="1"/>
      <c r="J71" s="1"/>
      <c r="K71" s="142"/>
      <c r="L71" s="142"/>
      <c r="M71" s="142"/>
      <c r="N71" s="142"/>
      <c r="O71" s="142"/>
      <c r="P71" s="142"/>
      <c r="Q71" s="142"/>
      <c r="R71" s="142"/>
      <c r="S71" s="142"/>
      <c r="T71" s="142"/>
      <c r="U71" s="142"/>
      <c r="V71" s="142"/>
      <c r="W71" s="142"/>
      <c r="X71" s="142"/>
      <c r="Y71" s="142"/>
      <c r="Z71" s="142"/>
    </row>
    <row r="72" ht="14.25" hidden="1" customHeight="1">
      <c r="A72" s="1"/>
      <c r="B72" s="1"/>
      <c r="C72" s="1"/>
      <c r="D72" s="1"/>
      <c r="E72" s="1"/>
      <c r="F72" s="1"/>
      <c r="G72" s="1"/>
      <c r="H72" s="1"/>
      <c r="I72" s="1"/>
      <c r="J72" s="1"/>
      <c r="K72" s="142"/>
      <c r="L72" s="142"/>
      <c r="M72" s="142"/>
      <c r="N72" s="142"/>
      <c r="O72" s="142"/>
      <c r="P72" s="142"/>
      <c r="Q72" s="142"/>
      <c r="R72" s="142"/>
      <c r="S72" s="142"/>
      <c r="T72" s="142"/>
      <c r="U72" s="142"/>
      <c r="V72" s="142"/>
      <c r="W72" s="142"/>
      <c r="X72" s="142"/>
      <c r="Y72" s="142"/>
      <c r="Z72" s="142"/>
    </row>
    <row r="73" ht="14.25" hidden="1" customHeight="1">
      <c r="A73" s="1"/>
      <c r="B73" s="1"/>
      <c r="C73" s="1"/>
      <c r="D73" s="1"/>
      <c r="E73" s="1"/>
      <c r="F73" s="1"/>
      <c r="G73" s="1"/>
      <c r="H73" s="1"/>
      <c r="I73" s="1"/>
      <c r="J73" s="1"/>
      <c r="K73" s="142"/>
      <c r="L73" s="142"/>
      <c r="M73" s="142"/>
      <c r="N73" s="142"/>
      <c r="O73" s="142"/>
      <c r="P73" s="142"/>
      <c r="Q73" s="142"/>
      <c r="R73" s="142"/>
      <c r="S73" s="142"/>
      <c r="T73" s="142"/>
      <c r="U73" s="142"/>
      <c r="V73" s="142"/>
      <c r="W73" s="142"/>
      <c r="X73" s="142"/>
      <c r="Y73" s="142"/>
      <c r="Z73" s="142"/>
    </row>
    <row r="74" ht="14.25" hidden="1" customHeight="1">
      <c r="A74" s="1"/>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row>
    <row r="75" ht="14.25" hidden="1" customHeight="1">
      <c r="A75" s="1"/>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row>
    <row r="76" ht="14.25" hidden="1" customHeight="1">
      <c r="A76" s="1"/>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row>
    <row r="77" ht="14.25" hidden="1" customHeight="1">
      <c r="A77" s="1"/>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row>
    <row r="78" ht="14.25" hidden="1" customHeight="1">
      <c r="A78" s="1"/>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row>
    <row r="79" ht="14.25" hidden="1" customHeight="1">
      <c r="A79" s="1"/>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row>
    <row r="80" ht="14.25" hidden="1" customHeight="1">
      <c r="A80" s="1"/>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row>
    <row r="81" ht="14.25" hidden="1" customHeight="1">
      <c r="A81" s="1"/>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row>
    <row r="82" ht="14.25" hidden="1" customHeight="1">
      <c r="A82" s="14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row>
    <row r="83" ht="14.25" hidden="1" customHeight="1">
      <c r="A83" s="14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row>
    <row r="84" ht="14.25" hidden="1" customHeight="1">
      <c r="A84" s="14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row>
    <row r="85" ht="14.25" hidden="1" customHeight="1">
      <c r="A85" s="14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row>
    <row r="86" ht="14.25" hidden="1" customHeight="1">
      <c r="A86" s="14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row>
    <row r="87" ht="14.25" hidden="1" customHeight="1">
      <c r="A87" s="14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row>
    <row r="88" ht="14.25" hidden="1" customHeight="1">
      <c r="A88" s="14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row>
    <row r="89" ht="14.25" hidden="1" customHeight="1">
      <c r="A89" s="14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row>
    <row r="90" ht="14.25" hidden="1" customHeight="1">
      <c r="A90" s="14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row>
    <row r="91" ht="14.25" hidden="1" customHeight="1">
      <c r="A91" s="14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row>
    <row r="92" ht="14.25" hidden="1" customHeight="1">
      <c r="A92" s="14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row>
    <row r="93" ht="14.25" hidden="1" customHeight="1">
      <c r="A93" s="14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row>
    <row r="94" ht="14.25" hidden="1" customHeight="1">
      <c r="A94" s="14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row>
    <row r="95" ht="14.25" hidden="1" customHeight="1">
      <c r="A95" s="14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row>
    <row r="96" ht="14.25" hidden="1" customHeight="1">
      <c r="A96" s="14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row>
    <row r="97" ht="14.25" hidden="1" customHeight="1">
      <c r="A97" s="14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row>
    <row r="98" ht="14.25" hidden="1" customHeight="1">
      <c r="A98" s="14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row>
    <row r="99" ht="14.25" hidden="1" customHeight="1">
      <c r="A99" s="14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row>
    <row r="100" ht="14.25" hidden="1" customHeight="1">
      <c r="A100" s="14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row>
    <row r="101" ht="14.25" hidden="1" customHeight="1">
      <c r="A101" s="14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row>
    <row r="102" ht="14.25" hidden="1" customHeight="1">
      <c r="A102" s="14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row>
    <row r="103" ht="14.25" hidden="1" customHeight="1">
      <c r="A103" s="14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row>
    <row r="104" ht="14.25" hidden="1" customHeight="1">
      <c r="A104" s="14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row>
    <row r="105" ht="14.25" hidden="1" customHeight="1">
      <c r="A105" s="14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row>
    <row r="106" ht="14.25" hidden="1" customHeight="1">
      <c r="A106" s="14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row>
    <row r="107" ht="14.25" hidden="1" customHeight="1">
      <c r="A107" s="14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row>
    <row r="108" ht="14.25" hidden="1" customHeight="1">
      <c r="A108" s="14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row>
    <row r="109" ht="14.25" hidden="1" customHeight="1">
      <c r="A109" s="14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row>
    <row r="110" ht="14.25" hidden="1" customHeight="1">
      <c r="A110" s="14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row>
    <row r="111" ht="14.25" hidden="1" customHeight="1">
      <c r="A111" s="14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row>
    <row r="112" ht="14.25" hidden="1" customHeight="1">
      <c r="A112" s="14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row>
    <row r="113" ht="14.25" hidden="1" customHeight="1">
      <c r="A113" s="14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row>
    <row r="114" ht="14.25" hidden="1" customHeight="1">
      <c r="A114" s="14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row>
    <row r="115" ht="14.25" hidden="1" customHeight="1">
      <c r="A115" s="14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row>
    <row r="116" ht="14.25" hidden="1" customHeight="1">
      <c r="A116" s="14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row>
    <row r="117" ht="14.25" hidden="1" customHeight="1">
      <c r="A117" s="14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row>
    <row r="118" ht="14.25" hidden="1" customHeight="1">
      <c r="A118" s="14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row>
    <row r="119" ht="14.25" hidden="1" customHeight="1">
      <c r="A119" s="14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row>
    <row r="120" ht="14.25" hidden="1" customHeight="1">
      <c r="A120" s="14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row>
    <row r="121" ht="14.25" hidden="1" customHeight="1">
      <c r="A121" s="14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row>
    <row r="122" ht="14.25" hidden="1" customHeight="1">
      <c r="A122" s="14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row>
    <row r="123" ht="14.25" hidden="1" customHeight="1">
      <c r="A123" s="14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row>
    <row r="124" ht="14.25" hidden="1" customHeight="1">
      <c r="A124" s="14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row>
    <row r="125" ht="14.25" hidden="1" customHeight="1">
      <c r="A125" s="14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row>
    <row r="126" ht="14.25" hidden="1" customHeight="1">
      <c r="A126" s="14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row>
    <row r="127" ht="14.25" hidden="1" customHeight="1">
      <c r="A127" s="14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row>
    <row r="128" ht="14.25" hidden="1" customHeight="1">
      <c r="A128" s="14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row>
    <row r="129" ht="14.25" hidden="1" customHeight="1">
      <c r="A129" s="14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row>
    <row r="130" ht="14.25" hidden="1" customHeight="1">
      <c r="A130" s="14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row>
    <row r="131" ht="14.25" hidden="1" customHeight="1">
      <c r="A131" s="14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row>
    <row r="132" ht="14.25" hidden="1" customHeight="1">
      <c r="A132" s="14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row>
    <row r="133" ht="14.25" hidden="1" customHeight="1">
      <c r="A133" s="14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row>
    <row r="134" ht="14.25" hidden="1" customHeight="1">
      <c r="A134" s="14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row>
    <row r="135" ht="14.25" hidden="1" customHeight="1">
      <c r="A135" s="14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row>
    <row r="136" ht="14.25" hidden="1" customHeight="1">
      <c r="A136" s="14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row>
    <row r="137" ht="14.25" hidden="1" customHeight="1">
      <c r="A137" s="14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row>
    <row r="138" ht="14.25" hidden="1" customHeight="1">
      <c r="A138" s="14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row>
    <row r="139" ht="14.25" hidden="1" customHeight="1">
      <c r="A139" s="14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row>
    <row r="140" ht="14.25" hidden="1" customHeight="1">
      <c r="A140" s="14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row>
    <row r="141" ht="14.25" hidden="1" customHeight="1">
      <c r="A141" s="14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row>
    <row r="142" ht="14.25" hidden="1" customHeight="1">
      <c r="A142" s="14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row>
    <row r="143" ht="14.25" hidden="1" customHeight="1">
      <c r="A143" s="14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row>
    <row r="144" ht="14.25" hidden="1" customHeight="1">
      <c r="A144" s="14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row>
    <row r="145" ht="14.25" hidden="1" customHeight="1">
      <c r="A145" s="14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row>
    <row r="146" ht="14.25" hidden="1" customHeight="1">
      <c r="A146" s="14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row>
    <row r="147" ht="14.25" hidden="1" customHeight="1">
      <c r="A147" s="14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row>
    <row r="148" ht="14.25" hidden="1" customHeight="1">
      <c r="A148" s="14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row>
    <row r="149" ht="14.25" hidden="1" customHeight="1">
      <c r="A149" s="14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row>
    <row r="150" ht="14.25" hidden="1" customHeight="1">
      <c r="A150" s="14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row>
    <row r="151" ht="14.25" hidden="1" customHeight="1">
      <c r="A151" s="14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row>
    <row r="152" ht="14.25" hidden="1" customHeight="1">
      <c r="A152" s="14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row>
    <row r="153" ht="14.25" hidden="1" customHeight="1">
      <c r="A153" s="14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row>
    <row r="154" ht="14.25" hidden="1" customHeight="1">
      <c r="A154" s="14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row>
    <row r="155" ht="14.25" hidden="1" customHeight="1">
      <c r="A155" s="14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row>
    <row r="156" ht="14.25" hidden="1" customHeight="1">
      <c r="A156" s="14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row>
    <row r="157" ht="14.25" hidden="1" customHeight="1">
      <c r="A157" s="14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row>
    <row r="158" ht="14.25" hidden="1" customHeight="1">
      <c r="A158" s="14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row>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4">
    <mergeCell ref="B2:C2"/>
    <mergeCell ref="E2:E3"/>
    <mergeCell ref="B3:C3"/>
    <mergeCell ref="D5:E5"/>
    <mergeCell ref="B8:B9"/>
    <mergeCell ref="B10:B11"/>
    <mergeCell ref="B12:B13"/>
    <mergeCell ref="B14:B15"/>
    <mergeCell ref="B16:B17"/>
    <mergeCell ref="B18:B19"/>
    <mergeCell ref="B20:B21"/>
    <mergeCell ref="B22:B23"/>
    <mergeCell ref="B24:B25"/>
    <mergeCell ref="B26:B27"/>
    <mergeCell ref="B42:B43"/>
    <mergeCell ref="B44:B45"/>
    <mergeCell ref="B46:B47"/>
    <mergeCell ref="B28:B29"/>
    <mergeCell ref="B30:B31"/>
    <mergeCell ref="B32:B33"/>
    <mergeCell ref="B34:B35"/>
    <mergeCell ref="B36:B37"/>
    <mergeCell ref="B38:B39"/>
    <mergeCell ref="B40:B41"/>
  </mergeCells>
  <conditionalFormatting sqref="E2:E3">
    <cfRule type="containsText" dxfId="1" priority="1" operator="containsText" text="Error">
      <formula>NOT(ISERROR(SEARCH(("Error"),(E2))))</formula>
    </cfRule>
  </conditionalFormatting>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6600"/>
    <pageSetUpPr fitToPage="1"/>
  </sheetPr>
  <sheetViews>
    <sheetView workbookViewId="0"/>
  </sheetViews>
  <sheetFormatPr customHeight="1" defaultColWidth="14.43" defaultRowHeight="15.0"/>
  <cols>
    <col customWidth="1" min="1" max="1" width="4.57"/>
    <col customWidth="1" min="2" max="2" width="14.71"/>
    <col customWidth="1" min="3" max="3" width="26.43"/>
    <col customWidth="1" min="4" max="4" width="62.71"/>
    <col customWidth="1" min="5" max="5" width="22.0"/>
    <col customWidth="1" min="6" max="6" width="18.57"/>
    <col customWidth="1" min="7" max="7" width="39.71"/>
    <col customWidth="1" min="8" max="8" width="62.43"/>
    <col customWidth="1" min="9" max="9" width="14.57"/>
    <col customWidth="1" min="10" max="10" width="12.71"/>
    <col customWidth="1" min="11" max="11" width="11.43"/>
    <col customWidth="1" min="12" max="12" width="17.71"/>
    <col customWidth="1" min="13" max="14" width="11.43"/>
    <col customWidth="1" min="15" max="16" width="27.0"/>
    <col customWidth="1" min="17" max="18" width="11.43"/>
    <col customWidth="1" min="19" max="19" width="2.29"/>
    <col customWidth="1" min="20" max="20" width="13.0"/>
    <col customWidth="1" min="21" max="21" width="14.71"/>
    <col customWidth="1" min="22" max="22" width="20.71"/>
    <col customWidth="1" min="23" max="23" width="23.71"/>
    <col customWidth="1" min="24" max="24" width="16.71"/>
    <col customWidth="1" hidden="1" min="25" max="25" width="14.0"/>
    <col customWidth="1" hidden="1" min="26" max="26" width="21.29"/>
    <col customWidth="1" hidden="1" min="27" max="27" width="14.0"/>
    <col customWidth="1" min="28" max="28" width="33.71"/>
    <col customWidth="1" min="29" max="29" width="26.57"/>
    <col customWidth="1" min="30" max="30" width="50.0"/>
    <col customWidth="1" min="31" max="31" width="18.71"/>
    <col customWidth="1" min="32" max="32" width="23.71"/>
    <col customWidth="1" min="33" max="33" width="16.71"/>
    <col customWidth="1" min="34" max="34" width="35.71"/>
    <col customWidth="1" min="35" max="35" width="76.29"/>
    <col customWidth="1" min="36" max="36" width="22.29"/>
    <col customWidth="1" hidden="1" min="37" max="39" width="22.29"/>
    <col customWidth="1" min="40" max="40" width="20.43"/>
    <col customWidth="1" min="41" max="41" width="34.29"/>
    <col customWidth="1" min="42" max="42" width="19.71"/>
    <col customWidth="1" min="43" max="43" width="16.29"/>
    <col customWidth="1" min="44" max="47" width="27.29"/>
    <col customWidth="1" min="48" max="48" width="21.29"/>
    <col customWidth="1" min="49" max="49" width="23.29"/>
    <col customWidth="1" min="50" max="50" width="68.29"/>
    <col customWidth="1" min="51" max="51" width="26.57"/>
    <col customWidth="1" min="52" max="52" width="14.29"/>
    <col customWidth="1" min="53" max="53" width="26.57"/>
    <col customWidth="1" min="54" max="73" width="26.29"/>
    <col customWidth="1" min="74" max="74" width="11.57"/>
    <col customWidth="1" min="75" max="77" width="8.71"/>
    <col customWidth="1" hidden="1" min="78" max="96" width="8.71"/>
  </cols>
  <sheetData>
    <row r="1" ht="15.75" customHeight="1">
      <c r="A1" s="1"/>
      <c r="B1" s="1"/>
      <c r="C1" s="1"/>
      <c r="D1" s="1"/>
      <c r="E1" s="1"/>
      <c r="F1" s="1"/>
      <c r="G1" s="1"/>
      <c r="H1" s="1"/>
      <c r="I1" s="150"/>
      <c r="J1" s="150"/>
      <c r="K1" s="150"/>
      <c r="L1" s="150"/>
      <c r="M1" s="150"/>
      <c r="N1" s="150"/>
      <c r="O1" s="151" t="s">
        <v>76</v>
      </c>
      <c r="P1" s="152">
        <f>IFERROR(SUM(AE11:AE31), "Error ▲")</f>
        <v>0.425749632</v>
      </c>
      <c r="Q1" s="1"/>
      <c r="R1" s="153" t="s">
        <v>77</v>
      </c>
      <c r="S1" s="1"/>
      <c r="T1" s="154"/>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row>
    <row r="2" ht="19.5" customHeight="1">
      <c r="A2" s="1"/>
      <c r="B2" s="155" t="s">
        <v>78</v>
      </c>
      <c r="C2" s="156" t="str">
        <f>IF('2. Site Details'!D4="","Enter site name on 2. Site Details",'2. Site Details'!D4)</f>
        <v>279 Long Lane, Uxbridge</v>
      </c>
      <c r="D2" s="60"/>
      <c r="E2" s="1"/>
      <c r="F2" s="157" t="s">
        <v>79</v>
      </c>
      <c r="G2" s="26"/>
      <c r="H2" s="27"/>
      <c r="I2" s="158"/>
      <c r="J2" s="159" t="str">
        <f t="array" ref="J2">IFERROR(IF(OR((ISNUMBER(SEARCH("▲",A7:Q101)))),"Input Errors Present On Sheet - Red Cells Or ▲ Highlight Errors","All Key Rules Satisfied ✓ "),"Technical Errors On Sheet ▲")</f>
        <v>All Key Rules Satisfied ✓ </v>
      </c>
      <c r="K2" s="3"/>
      <c r="L2" s="3"/>
      <c r="M2" s="4"/>
      <c r="N2" s="158"/>
      <c r="O2" s="160" t="s">
        <v>80</v>
      </c>
      <c r="P2" s="152">
        <f>IFERROR(N32, "Error ▲")</f>
        <v>0.184477696</v>
      </c>
      <c r="Q2" s="1"/>
      <c r="R2" s="161"/>
      <c r="S2" s="1"/>
      <c r="T2" s="154"/>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row>
    <row r="3" ht="19.5" customHeight="1">
      <c r="A3" s="1"/>
      <c r="B3" s="162" t="s">
        <v>16</v>
      </c>
      <c r="C3" s="163" t="s">
        <v>81</v>
      </c>
      <c r="D3" s="54"/>
      <c r="E3" s="1"/>
      <c r="F3" s="164"/>
      <c r="H3" s="165"/>
      <c r="I3" s="158"/>
      <c r="J3" s="5"/>
      <c r="M3" s="6"/>
      <c r="N3" s="158"/>
      <c r="O3" s="160" t="s">
        <v>82</v>
      </c>
      <c r="P3" s="152">
        <f>IFERROR(L61, "Error ▲")</f>
        <v>0.024897</v>
      </c>
      <c r="Q3" s="1"/>
      <c r="R3" s="161"/>
      <c r="S3" s="1"/>
      <c r="T3" s="154"/>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row>
    <row r="4" ht="19.5" customHeight="1">
      <c r="A4" s="1"/>
      <c r="B4" s="166"/>
      <c r="C4" s="166"/>
      <c r="D4" s="166"/>
      <c r="E4" s="1"/>
      <c r="F4" s="164"/>
      <c r="H4" s="165"/>
      <c r="I4" s="158"/>
      <c r="J4" s="5"/>
      <c r="M4" s="6"/>
      <c r="N4" s="158"/>
      <c r="O4" s="160" t="s">
        <v>83</v>
      </c>
      <c r="P4" s="152">
        <f>IFERROR(L89, "Error ▲")</f>
        <v>0</v>
      </c>
      <c r="Q4" s="1"/>
      <c r="R4" s="161"/>
      <c r="S4" s="1"/>
      <c r="T4" s="154"/>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row>
    <row r="5" ht="19.5" customHeight="1">
      <c r="A5" s="167"/>
      <c r="B5" s="1"/>
      <c r="C5" s="1"/>
      <c r="D5" s="1"/>
      <c r="E5" s="1"/>
      <c r="F5" s="164"/>
      <c r="H5" s="165"/>
      <c r="I5" s="158"/>
      <c r="J5" s="7"/>
      <c r="K5" s="8"/>
      <c r="L5" s="8"/>
      <c r="M5" s="9"/>
      <c r="N5" s="158"/>
      <c r="O5" s="168" t="s">
        <v>84</v>
      </c>
      <c r="P5" s="169">
        <f>IFERROR((P1+L61+L89)-L32, "Error ▲")</f>
        <v>-0.159580696</v>
      </c>
      <c r="Q5" s="1"/>
      <c r="R5" s="161"/>
      <c r="S5" s="1"/>
      <c r="T5" s="154"/>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row>
    <row r="6" ht="12.75" customHeight="1">
      <c r="A6" s="167"/>
      <c r="B6" s="1"/>
      <c r="C6" s="1"/>
      <c r="D6" s="1"/>
      <c r="E6" s="1"/>
      <c r="F6" s="170"/>
      <c r="G6" s="171"/>
      <c r="H6" s="172"/>
      <c r="I6" s="150"/>
      <c r="J6" s="150"/>
      <c r="K6" s="150"/>
      <c r="L6" s="150"/>
      <c r="M6" s="150"/>
      <c r="N6" s="150"/>
      <c r="O6" s="173"/>
      <c r="P6" s="173"/>
      <c r="Q6" s="1"/>
      <c r="R6" s="161"/>
      <c r="S6" s="1"/>
      <c r="T6" s="154"/>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row>
    <row r="7" ht="18.75" customHeight="1">
      <c r="A7" s="1"/>
      <c r="B7" s="128" t="s">
        <v>85</v>
      </c>
      <c r="C7" s="1"/>
      <c r="D7" s="174"/>
      <c r="E7" s="1"/>
      <c r="F7" s="1"/>
      <c r="G7" s="1"/>
      <c r="H7" s="154"/>
      <c r="I7" s="1"/>
      <c r="J7" s="1"/>
      <c r="K7" s="154"/>
      <c r="L7" s="175"/>
      <c r="M7" s="175"/>
      <c r="N7" s="175"/>
      <c r="O7" s="1"/>
      <c r="P7" s="1"/>
      <c r="Q7" s="1"/>
      <c r="R7" s="161"/>
      <c r="S7" s="1"/>
      <c r="T7" s="154"/>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row>
    <row r="8" ht="10.5" customHeight="1">
      <c r="A8" s="176"/>
      <c r="B8" s="1"/>
      <c r="C8" s="1"/>
      <c r="D8" s="1"/>
      <c r="E8" s="1"/>
      <c r="F8" s="1"/>
      <c r="G8" s="1"/>
      <c r="H8" s="1"/>
      <c r="I8" s="1"/>
      <c r="J8" s="1"/>
      <c r="K8" s="1"/>
      <c r="L8" s="1"/>
      <c r="M8" s="1"/>
      <c r="N8" s="1"/>
      <c r="O8" s="1"/>
      <c r="P8" s="1"/>
      <c r="Q8" s="1"/>
      <c r="R8" s="16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row>
    <row r="9" ht="29.25" customHeight="1">
      <c r="A9" s="176"/>
      <c r="B9" s="177" t="s">
        <v>71</v>
      </c>
      <c r="C9" s="178" t="s">
        <v>86</v>
      </c>
      <c r="D9" s="179"/>
      <c r="E9" s="60"/>
      <c r="F9" s="180" t="s">
        <v>87</v>
      </c>
      <c r="G9" s="26"/>
      <c r="H9" s="27"/>
      <c r="I9" s="178" t="s">
        <v>88</v>
      </c>
      <c r="J9" s="179"/>
      <c r="K9" s="60"/>
      <c r="L9" s="181" t="s">
        <v>89</v>
      </c>
      <c r="M9" s="179"/>
      <c r="N9" s="60"/>
      <c r="O9" s="181" t="s">
        <v>90</v>
      </c>
      <c r="P9" s="60"/>
      <c r="Q9" s="1"/>
      <c r="R9" s="161"/>
      <c r="S9" s="1"/>
      <c r="T9" s="182" t="s">
        <v>91</v>
      </c>
      <c r="U9" s="179"/>
      <c r="V9" s="60"/>
      <c r="W9" s="183" t="s">
        <v>92</v>
      </c>
      <c r="X9" s="60"/>
      <c r="Y9" s="184"/>
      <c r="Z9" s="14"/>
      <c r="AA9" s="15"/>
      <c r="AB9" s="182" t="s">
        <v>93</v>
      </c>
      <c r="AC9" s="179"/>
      <c r="AD9" s="60"/>
      <c r="AE9" s="182" t="s">
        <v>94</v>
      </c>
      <c r="AF9" s="179"/>
      <c r="AG9" s="60"/>
      <c r="AH9" s="185" t="s">
        <v>95</v>
      </c>
      <c r="AI9" s="186" t="s">
        <v>96</v>
      </c>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row>
    <row r="10" ht="14.25" customHeight="1">
      <c r="A10" s="176"/>
      <c r="B10" s="187"/>
      <c r="C10" s="168" t="s">
        <v>97</v>
      </c>
      <c r="D10" s="188" t="s">
        <v>98</v>
      </c>
      <c r="E10" s="54"/>
      <c r="F10" s="170"/>
      <c r="G10" s="171"/>
      <c r="H10" s="172"/>
      <c r="I10" s="168" t="s">
        <v>99</v>
      </c>
      <c r="J10" s="189" t="s">
        <v>100</v>
      </c>
      <c r="K10" s="190" t="s">
        <v>101</v>
      </c>
      <c r="L10" s="168" t="s">
        <v>102</v>
      </c>
      <c r="M10" s="189" t="s">
        <v>103</v>
      </c>
      <c r="N10" s="190" t="s">
        <v>104</v>
      </c>
      <c r="O10" s="168" t="s">
        <v>105</v>
      </c>
      <c r="P10" s="190" t="s">
        <v>106</v>
      </c>
      <c r="Q10" s="1"/>
      <c r="R10" s="161"/>
      <c r="S10" s="1"/>
      <c r="T10" s="191" t="s">
        <v>107</v>
      </c>
      <c r="U10" s="47"/>
      <c r="V10" s="192" t="s">
        <v>108</v>
      </c>
      <c r="W10" s="193" t="s">
        <v>109</v>
      </c>
      <c r="X10" s="192" t="s">
        <v>108</v>
      </c>
      <c r="Y10" s="194"/>
      <c r="Z10" s="194"/>
      <c r="AA10" s="194"/>
      <c r="AB10" s="195" t="s">
        <v>93</v>
      </c>
      <c r="AC10" s="196" t="s">
        <v>93</v>
      </c>
      <c r="AD10" s="192" t="s">
        <v>110</v>
      </c>
      <c r="AE10" s="195" t="s">
        <v>111</v>
      </c>
      <c r="AF10" s="196" t="s">
        <v>112</v>
      </c>
      <c r="AG10" s="192" t="s">
        <v>113</v>
      </c>
      <c r="AH10" s="197"/>
      <c r="AI10" s="198"/>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row>
    <row r="11" ht="14.25" customHeight="1">
      <c r="A11" s="176"/>
      <c r="B11" s="199">
        <v>1.0</v>
      </c>
      <c r="C11" s="200" t="s">
        <v>114</v>
      </c>
      <c r="D11" s="201" t="s">
        <v>115</v>
      </c>
      <c r="E11" s="32"/>
      <c r="F11" s="202" t="s">
        <v>116</v>
      </c>
      <c r="G11" s="31"/>
      <c r="H11" s="32"/>
      <c r="I11" s="203">
        <v>309.0</v>
      </c>
      <c r="J11" s="204">
        <v>309.0</v>
      </c>
      <c r="K11" s="205"/>
      <c r="L11" s="206">
        <f t="shared" ref="L11:L30" si="1">IF(C11="","",IFERROR(IF(I11="","",((I11/10000)*V11*X11)*AD11),"Error ▲"))</f>
        <v>0</v>
      </c>
      <c r="M11" s="206">
        <f t="shared" ref="M11:M30" si="2">IF(I11="","",IF(J11+K11&gt;I11,"Area Error ▲",I11-J11-K11))</f>
        <v>0</v>
      </c>
      <c r="N11" s="207">
        <f t="shared" ref="N11:N30" si="3">IFERROR(IF(I11="","",IF(M11="Area Error ▲","Area Error ▲",((M11/10000)*V11*X11)*AD11)),"This intervention is not permitted within the SSM ▲")</f>
        <v>0</v>
      </c>
      <c r="O11" s="208"/>
      <c r="P11" s="209"/>
      <c r="Q11" s="1"/>
      <c r="R11" s="161"/>
      <c r="S11" s="1"/>
      <c r="T11" s="210" t="str">
        <f>IF(C11="","",VLOOKUP(D11,'9. All Habitats + Multipliers'!$C$4:$K$102,5,FALSE))</f>
        <v>V.Low</v>
      </c>
      <c r="U11" s="47"/>
      <c r="V11" s="211">
        <f>IF(T11="","",VLOOKUP(T11,'11. Lists'!$B$47:$D$49,2,FALSE))</f>
        <v>0</v>
      </c>
      <c r="W11" s="212" t="str">
        <f>IF(C11="","",VLOOKUP(D11,'10. Condition and Temporal'!$B$6:$C$103,2,FALSE))</f>
        <v>N/A - Other</v>
      </c>
      <c r="X11" s="211">
        <f>IF(W11="","",VLOOKUP(W11,'11. Lists'!$F$47:$G$51,2,FALSE))</f>
        <v>0</v>
      </c>
      <c r="Y11" s="213"/>
      <c r="Z11" s="213"/>
      <c r="AA11" s="213"/>
      <c r="AB11" s="214" t="str">
        <f t="shared" ref="AB11:AB31" si="4">IF(F11="","",F11)</f>
        <v>Area/compensation not in local strategy/ no local strategy</v>
      </c>
      <c r="AC11" s="215" t="str">
        <f>IF(AB11="","",VLOOKUP(AB11,'11. Lists'!$F$36:$H$38,2,FALSE))</f>
        <v>Low Strategic Significance</v>
      </c>
      <c r="AD11" s="211">
        <f>IF(AB11="","",VLOOKUP(AB11,'11. Lists'!$F$36:$H$38,3,FALSE))</f>
        <v>1</v>
      </c>
      <c r="AE11" s="216">
        <f t="shared" ref="AE11:AE30" si="5">IF(D11="","",((J11/10000)*V11*X11)*AD11)</f>
        <v>0</v>
      </c>
      <c r="AF11" s="217">
        <f t="shared" ref="AF11:AF30" si="6">IF(D11="","",((K11/10000)*V11*X11)*AD11)</f>
        <v>0</v>
      </c>
      <c r="AG11" s="218">
        <f t="shared" ref="AG11:AG31" si="7">IF(D11="","",M11)</f>
        <v>0</v>
      </c>
      <c r="AH11" s="219" t="str">
        <f>IF(T11="","",VLOOKUP(T11,'11. Lists'!$B$47:$D$49,3,FALSE))</f>
        <v>Compensation Not Required</v>
      </c>
      <c r="AI11" s="220" t="str">
        <f>IF(D11="","",VLOOKUP(D11,'10. Condition and Temporal'!$B$6:$L$103,4,FALSE))</f>
        <v>Enhancement not possible</v>
      </c>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row>
    <row r="12" ht="14.25" customHeight="1">
      <c r="A12" s="1"/>
      <c r="B12" s="221">
        <v>2.0</v>
      </c>
      <c r="C12" s="200" t="s">
        <v>114</v>
      </c>
      <c r="D12" s="222" t="s">
        <v>117</v>
      </c>
      <c r="E12" s="43"/>
      <c r="F12" s="202" t="s">
        <v>116</v>
      </c>
      <c r="G12" s="31"/>
      <c r="H12" s="32"/>
      <c r="I12" s="203">
        <v>444.0</v>
      </c>
      <c r="J12" s="223">
        <v>444.0</v>
      </c>
      <c r="K12" s="205"/>
      <c r="L12" s="224">
        <f t="shared" si="1"/>
        <v>0.0888</v>
      </c>
      <c r="M12" s="224">
        <f t="shared" si="2"/>
        <v>0</v>
      </c>
      <c r="N12" s="225">
        <f t="shared" si="3"/>
        <v>0</v>
      </c>
      <c r="O12" s="226"/>
      <c r="P12" s="227"/>
      <c r="Q12" s="1"/>
      <c r="R12" s="161"/>
      <c r="S12" s="1"/>
      <c r="T12" s="210" t="str">
        <f>IF(C12="","",VLOOKUP(D12,'9. All Habitats + Multipliers'!$C$4:$K$102,5,FALSE))</f>
        <v>Low</v>
      </c>
      <c r="U12" s="47"/>
      <c r="V12" s="211">
        <f>IF(T12="","",VLOOKUP(T12,'11. Lists'!$B$47:$D$49,2,FALSE))</f>
        <v>2</v>
      </c>
      <c r="W12" s="212" t="str">
        <f>IF(C12="","",VLOOKUP(D12,'10. Condition and Temporal'!$B$6:$C$103,2,FALSE))</f>
        <v>Condition Assessment N/A</v>
      </c>
      <c r="X12" s="211">
        <f>IF(W12="","",VLOOKUP(W12,'11. Lists'!$F$47:$G$51,2,FALSE))</f>
        <v>1</v>
      </c>
      <c r="Y12" s="213"/>
      <c r="Z12" s="213"/>
      <c r="AA12" s="213"/>
      <c r="AB12" s="214" t="str">
        <f t="shared" si="4"/>
        <v>Area/compensation not in local strategy/ no local strategy</v>
      </c>
      <c r="AC12" s="215" t="str">
        <f>IF(AB12="","",VLOOKUP(AB12,'11. Lists'!$F$36:$H$38,2,FALSE))</f>
        <v>Low Strategic Significance</v>
      </c>
      <c r="AD12" s="211">
        <f>IF(AB12="","",VLOOKUP(AB12,'11. Lists'!$F$36:$H$38,3,FALSE))</f>
        <v>1</v>
      </c>
      <c r="AE12" s="216">
        <f t="shared" si="5"/>
        <v>0.0888</v>
      </c>
      <c r="AF12" s="217">
        <f t="shared" si="6"/>
        <v>0</v>
      </c>
      <c r="AG12" s="218">
        <f t="shared" si="7"/>
        <v>0</v>
      </c>
      <c r="AH12" s="219" t="str">
        <f>IF(T12="","",VLOOKUP(T12,'11. Lists'!$B$47:$D$49,3,FALSE))</f>
        <v>Same distinctiveness or better habitat required</v>
      </c>
      <c r="AI12" s="220" t="str">
        <f>IF(D12="","",VLOOKUP(D12,'10. Condition and Temporal'!$B$6:$L$103,4,FALSE))</f>
        <v>Enhancement not possible</v>
      </c>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row>
    <row r="13" ht="14.25" customHeight="1">
      <c r="A13" s="1"/>
      <c r="B13" s="221">
        <v>3.0</v>
      </c>
      <c r="C13" s="200" t="s">
        <v>118</v>
      </c>
      <c r="D13" s="222" t="s">
        <v>119</v>
      </c>
      <c r="E13" s="43"/>
      <c r="F13" s="202" t="s">
        <v>116</v>
      </c>
      <c r="G13" s="31"/>
      <c r="H13" s="32"/>
      <c r="I13" s="203">
        <v>274.0</v>
      </c>
      <c r="J13" s="223">
        <v>0.0</v>
      </c>
      <c r="K13" s="205"/>
      <c r="L13" s="224">
        <f t="shared" si="1"/>
        <v>0.1096</v>
      </c>
      <c r="M13" s="224">
        <f t="shared" si="2"/>
        <v>274</v>
      </c>
      <c r="N13" s="225">
        <f t="shared" si="3"/>
        <v>0.1096</v>
      </c>
      <c r="O13" s="226"/>
      <c r="P13" s="227"/>
      <c r="Q13" s="1"/>
      <c r="R13" s="161"/>
      <c r="S13" s="1"/>
      <c r="T13" s="210" t="str">
        <f>IF(C13="","",VLOOKUP(D13,'9. All Habitats + Multipliers'!$C$4:$K$102,5,FALSE))</f>
        <v>Medium</v>
      </c>
      <c r="U13" s="47"/>
      <c r="V13" s="211">
        <f>IF(T13="","",VLOOKUP(T13,'11. Lists'!$B$47:$D$49,2,FALSE))</f>
        <v>4</v>
      </c>
      <c r="W13" s="212" t="str">
        <f>IF(C13="","",VLOOKUP(D13,'10. Condition and Temporal'!$B$6:$C$103,2,FALSE))</f>
        <v>Condition Assessment N/A</v>
      </c>
      <c r="X13" s="211">
        <f>IF(W13="","",VLOOKUP(W13,'11. Lists'!$F$47:$G$51,2,FALSE))</f>
        <v>1</v>
      </c>
      <c r="Y13" s="213"/>
      <c r="Z13" s="213"/>
      <c r="AA13" s="213"/>
      <c r="AB13" s="214" t="str">
        <f t="shared" si="4"/>
        <v>Area/compensation not in local strategy/ no local strategy</v>
      </c>
      <c r="AC13" s="215" t="str">
        <f>IF(AB13="","",VLOOKUP(AB13,'11. Lists'!$F$36:$H$38,2,FALSE))</f>
        <v>Low Strategic Significance</v>
      </c>
      <c r="AD13" s="211">
        <f>IF(AB13="","",VLOOKUP(AB13,'11. Lists'!$F$36:$H$38,3,FALSE))</f>
        <v>1</v>
      </c>
      <c r="AE13" s="216">
        <f t="shared" si="5"/>
        <v>0</v>
      </c>
      <c r="AF13" s="217">
        <f t="shared" si="6"/>
        <v>0</v>
      </c>
      <c r="AG13" s="218">
        <f t="shared" si="7"/>
        <v>274</v>
      </c>
      <c r="AH13" s="219" t="str">
        <f>IF(T13="","",VLOOKUP(T13,'11. Lists'!$B$47:$D$49,3,FALSE))</f>
        <v>Same broad habitat or a higher distinctiveness habitat required</v>
      </c>
      <c r="AI13" s="220" t="str">
        <f>IF(D13="","",VLOOKUP(D13,'10. Condition and Temporal'!$B$6:$L$103,4,FALSE))</f>
        <v>Blackthorn scrub, Gorse scrub, Hawthorn scrub, Hazel scrub, Mixed scrub, Willow scrub</v>
      </c>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row>
    <row r="14" ht="14.25" customHeight="1">
      <c r="A14" s="1"/>
      <c r="B14" s="221">
        <v>4.0</v>
      </c>
      <c r="C14" s="200"/>
      <c r="D14" s="201"/>
      <c r="E14" s="32"/>
      <c r="F14" s="202"/>
      <c r="G14" s="31"/>
      <c r="H14" s="32"/>
      <c r="I14" s="203"/>
      <c r="J14" s="223"/>
      <c r="K14" s="205"/>
      <c r="L14" s="224" t="str">
        <f t="shared" si="1"/>
        <v/>
      </c>
      <c r="M14" s="224" t="str">
        <f t="shared" si="2"/>
        <v/>
      </c>
      <c r="N14" s="225" t="str">
        <f t="shared" si="3"/>
        <v/>
      </c>
      <c r="O14" s="226"/>
      <c r="P14" s="227"/>
      <c r="Q14" s="1"/>
      <c r="R14" s="161"/>
      <c r="S14" s="1"/>
      <c r="T14" s="210" t="str">
        <f>IF(C14="","",VLOOKUP(D14,'9. All Habitats + Multipliers'!$C$4:$K$102,5,FALSE))</f>
        <v/>
      </c>
      <c r="U14" s="47"/>
      <c r="V14" s="211" t="str">
        <f>IF(T14="","",VLOOKUP(T14,'11. Lists'!$B$47:$D$49,2,FALSE))</f>
        <v/>
      </c>
      <c r="W14" s="212" t="str">
        <f>IF(C14="","",VLOOKUP(D14,'10. Condition and Temporal'!$B$6:$C$103,2,FALSE))</f>
        <v/>
      </c>
      <c r="X14" s="211" t="str">
        <f>IF(W14="","",VLOOKUP(W14,'11. Lists'!$F$47:$G$51,2,FALSE))</f>
        <v/>
      </c>
      <c r="Y14" s="213"/>
      <c r="Z14" s="213"/>
      <c r="AA14" s="213"/>
      <c r="AB14" s="214" t="str">
        <f t="shared" si="4"/>
        <v/>
      </c>
      <c r="AC14" s="215" t="str">
        <f>IF(AB14="","",VLOOKUP(AB14,'11. Lists'!$F$36:$H$38,2,FALSE))</f>
        <v/>
      </c>
      <c r="AD14" s="211" t="str">
        <f>IF(AB14="","",VLOOKUP(AB14,'11. Lists'!$F$36:$H$38,3,FALSE))</f>
        <v/>
      </c>
      <c r="AE14" s="216" t="str">
        <f t="shared" si="5"/>
        <v/>
      </c>
      <c r="AF14" s="217" t="str">
        <f t="shared" si="6"/>
        <v/>
      </c>
      <c r="AG14" s="218" t="str">
        <f t="shared" si="7"/>
        <v/>
      </c>
      <c r="AH14" s="219" t="str">
        <f>IF(T14="","",VLOOKUP(T14,'11. Lists'!$B$47:$D$49,3,FALSE))</f>
        <v/>
      </c>
      <c r="AI14" s="220" t="str">
        <f>IF(D14="","",VLOOKUP(D14,'10. Condition and Temporal'!$B$6:$L$103,4,FALSE))</f>
        <v/>
      </c>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row>
    <row r="15" ht="14.25" customHeight="1">
      <c r="A15" s="1"/>
      <c r="B15" s="221">
        <v>5.0</v>
      </c>
      <c r="C15" s="200"/>
      <c r="D15" s="222"/>
      <c r="E15" s="43"/>
      <c r="F15" s="202"/>
      <c r="G15" s="31"/>
      <c r="H15" s="32"/>
      <c r="I15" s="203"/>
      <c r="J15" s="223"/>
      <c r="K15" s="205"/>
      <c r="L15" s="224" t="str">
        <f t="shared" si="1"/>
        <v/>
      </c>
      <c r="M15" s="224" t="str">
        <f t="shared" si="2"/>
        <v/>
      </c>
      <c r="N15" s="225" t="str">
        <f t="shared" si="3"/>
        <v/>
      </c>
      <c r="O15" s="226"/>
      <c r="P15" s="227"/>
      <c r="Q15" s="1"/>
      <c r="R15" s="161"/>
      <c r="S15" s="1"/>
      <c r="T15" s="210" t="str">
        <f>IF(C15="","",VLOOKUP(D15,'9. All Habitats + Multipliers'!$C$4:$K$102,5,FALSE))</f>
        <v/>
      </c>
      <c r="U15" s="47"/>
      <c r="V15" s="211" t="str">
        <f>IF(T15="","",VLOOKUP(T15,'11. Lists'!$B$47:$D$49,2,FALSE))</f>
        <v/>
      </c>
      <c r="W15" s="212" t="str">
        <f>IF(C15="","",VLOOKUP(D15,'10. Condition and Temporal'!$B$6:$C$103,2,FALSE))</f>
        <v/>
      </c>
      <c r="X15" s="211" t="str">
        <f>IF(W15="","",VLOOKUP(W15,'11. Lists'!$F$47:$G$51,2,FALSE))</f>
        <v/>
      </c>
      <c r="Y15" s="213"/>
      <c r="Z15" s="213"/>
      <c r="AA15" s="213"/>
      <c r="AB15" s="214" t="str">
        <f t="shared" si="4"/>
        <v/>
      </c>
      <c r="AC15" s="215" t="str">
        <f>IF(AB15="","",VLOOKUP(AB15,'11. Lists'!$F$36:$H$38,2,FALSE))</f>
        <v/>
      </c>
      <c r="AD15" s="211" t="str">
        <f>IF(AB15="","",VLOOKUP(AB15,'11. Lists'!$F$36:$H$38,3,FALSE))</f>
        <v/>
      </c>
      <c r="AE15" s="216" t="str">
        <f t="shared" si="5"/>
        <v/>
      </c>
      <c r="AF15" s="217" t="str">
        <f t="shared" si="6"/>
        <v/>
      </c>
      <c r="AG15" s="218" t="str">
        <f t="shared" si="7"/>
        <v/>
      </c>
      <c r="AH15" s="219" t="str">
        <f>IF(T15="","",VLOOKUP(T15,'11. Lists'!$B$47:$D$49,3,FALSE))</f>
        <v/>
      </c>
      <c r="AI15" s="220" t="str">
        <f>IF(D15="","",VLOOKUP(D15,'10. Condition and Temporal'!$B$6:$L$103,4,FALSE))</f>
        <v/>
      </c>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row>
    <row r="16" ht="14.25" customHeight="1">
      <c r="A16" s="1"/>
      <c r="B16" s="221">
        <v>6.0</v>
      </c>
      <c r="C16" s="200"/>
      <c r="D16" s="222"/>
      <c r="E16" s="43"/>
      <c r="F16" s="202"/>
      <c r="G16" s="31"/>
      <c r="H16" s="32"/>
      <c r="I16" s="203"/>
      <c r="J16" s="223"/>
      <c r="K16" s="205"/>
      <c r="L16" s="224" t="str">
        <f t="shared" si="1"/>
        <v/>
      </c>
      <c r="M16" s="224" t="str">
        <f t="shared" si="2"/>
        <v/>
      </c>
      <c r="N16" s="225" t="str">
        <f t="shared" si="3"/>
        <v/>
      </c>
      <c r="O16" s="226"/>
      <c r="P16" s="227"/>
      <c r="Q16" s="1"/>
      <c r="R16" s="161"/>
      <c r="S16" s="1"/>
      <c r="T16" s="210" t="str">
        <f>IF(C16="","",VLOOKUP(D16,'9. All Habitats + Multipliers'!$C$4:$K$102,5,FALSE))</f>
        <v/>
      </c>
      <c r="U16" s="47"/>
      <c r="V16" s="211" t="str">
        <f>IF(T16="","",VLOOKUP(T16,'11. Lists'!$B$47:$D$49,2,FALSE))</f>
        <v/>
      </c>
      <c r="W16" s="212" t="str">
        <f>IF(C16="","",VLOOKUP(D16,'10. Condition and Temporal'!$B$6:$C$103,2,FALSE))</f>
        <v/>
      </c>
      <c r="X16" s="211" t="str">
        <f>IF(W16="","",VLOOKUP(W16,'11. Lists'!$F$47:$G$51,2,FALSE))</f>
        <v/>
      </c>
      <c r="Y16" s="213"/>
      <c r="Z16" s="213"/>
      <c r="AA16" s="213"/>
      <c r="AB16" s="214" t="str">
        <f t="shared" si="4"/>
        <v/>
      </c>
      <c r="AC16" s="215" t="str">
        <f>IF(AB16="","",VLOOKUP(AB16,'11. Lists'!$F$36:$H$38,2,FALSE))</f>
        <v/>
      </c>
      <c r="AD16" s="211" t="str">
        <f>IF(AB16="","",VLOOKUP(AB16,'11. Lists'!$F$36:$H$38,3,FALSE))</f>
        <v/>
      </c>
      <c r="AE16" s="216" t="str">
        <f t="shared" si="5"/>
        <v/>
      </c>
      <c r="AF16" s="217" t="str">
        <f t="shared" si="6"/>
        <v/>
      </c>
      <c r="AG16" s="218" t="str">
        <f t="shared" si="7"/>
        <v/>
      </c>
      <c r="AH16" s="219" t="str">
        <f>IF(T16="","",VLOOKUP(T16,'11. Lists'!$B$47:$D$49,3,FALSE))</f>
        <v/>
      </c>
      <c r="AI16" s="220" t="str">
        <f>IF(D16="","",VLOOKUP(D16,'10. Condition and Temporal'!$B$6:$L$103,4,FALSE))</f>
        <v/>
      </c>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row>
    <row r="17" ht="14.25" customHeight="1">
      <c r="A17" s="1"/>
      <c r="B17" s="221">
        <v>7.0</v>
      </c>
      <c r="C17" s="200"/>
      <c r="D17" s="222"/>
      <c r="E17" s="43"/>
      <c r="F17" s="202"/>
      <c r="G17" s="31"/>
      <c r="H17" s="32"/>
      <c r="I17" s="203"/>
      <c r="J17" s="223"/>
      <c r="K17" s="205"/>
      <c r="L17" s="224" t="str">
        <f t="shared" si="1"/>
        <v/>
      </c>
      <c r="M17" s="224" t="str">
        <f t="shared" si="2"/>
        <v/>
      </c>
      <c r="N17" s="225" t="str">
        <f t="shared" si="3"/>
        <v/>
      </c>
      <c r="O17" s="226"/>
      <c r="P17" s="227"/>
      <c r="Q17" s="1"/>
      <c r="R17" s="161"/>
      <c r="S17" s="1"/>
      <c r="T17" s="210" t="str">
        <f>IF(C17="","",VLOOKUP(D17,'9. All Habitats + Multipliers'!$C$4:$K$102,5,FALSE))</f>
        <v/>
      </c>
      <c r="U17" s="47"/>
      <c r="V17" s="211" t="str">
        <f>IF(T17="","",VLOOKUP(T17,'11. Lists'!$B$47:$D$49,2,FALSE))</f>
        <v/>
      </c>
      <c r="W17" s="212" t="str">
        <f>IF(C17="","",VLOOKUP(D17,'10. Condition and Temporal'!$B$6:$C$103,2,FALSE))</f>
        <v/>
      </c>
      <c r="X17" s="211" t="str">
        <f>IF(W17="","",VLOOKUP(W17,'11. Lists'!$F$47:$G$51,2,FALSE))</f>
        <v/>
      </c>
      <c r="Y17" s="213"/>
      <c r="Z17" s="213"/>
      <c r="AA17" s="213"/>
      <c r="AB17" s="214" t="str">
        <f t="shared" si="4"/>
        <v/>
      </c>
      <c r="AC17" s="215" t="str">
        <f>IF(AB17="","",VLOOKUP(AB17,'11. Lists'!$F$36:$H$38,2,FALSE))</f>
        <v/>
      </c>
      <c r="AD17" s="211" t="str">
        <f>IF(AB17="","",VLOOKUP(AB17,'11. Lists'!$F$36:$H$38,3,FALSE))</f>
        <v/>
      </c>
      <c r="AE17" s="216" t="str">
        <f t="shared" si="5"/>
        <v/>
      </c>
      <c r="AF17" s="217" t="str">
        <f t="shared" si="6"/>
        <v/>
      </c>
      <c r="AG17" s="218" t="str">
        <f t="shared" si="7"/>
        <v/>
      </c>
      <c r="AH17" s="219" t="str">
        <f>IF(T17="","",VLOOKUP(T17,'11. Lists'!$B$47:$D$49,3,FALSE))</f>
        <v/>
      </c>
      <c r="AI17" s="220" t="str">
        <f>IF(D17="","",VLOOKUP(D17,'10. Condition and Temporal'!$B$6:$L$103,4,FALSE))</f>
        <v/>
      </c>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row>
    <row r="18" ht="14.25" customHeight="1">
      <c r="A18" s="1"/>
      <c r="B18" s="221">
        <v>8.0</v>
      </c>
      <c r="C18" s="200"/>
      <c r="D18" s="222"/>
      <c r="E18" s="43"/>
      <c r="F18" s="202"/>
      <c r="G18" s="31"/>
      <c r="H18" s="32"/>
      <c r="I18" s="203"/>
      <c r="J18" s="223"/>
      <c r="K18" s="205"/>
      <c r="L18" s="224" t="str">
        <f t="shared" si="1"/>
        <v/>
      </c>
      <c r="M18" s="224" t="str">
        <f t="shared" si="2"/>
        <v/>
      </c>
      <c r="N18" s="225" t="str">
        <f t="shared" si="3"/>
        <v/>
      </c>
      <c r="O18" s="226"/>
      <c r="P18" s="227"/>
      <c r="Q18" s="1"/>
      <c r="R18" s="161"/>
      <c r="S18" s="1"/>
      <c r="T18" s="210" t="str">
        <f>IF(C18="","",VLOOKUP(D18,'9. All Habitats + Multipliers'!$C$4:$K$102,5,FALSE))</f>
        <v/>
      </c>
      <c r="U18" s="47"/>
      <c r="V18" s="211" t="str">
        <f>IF(T18="","",VLOOKUP(T18,'11. Lists'!$B$47:$D$49,2,FALSE))</f>
        <v/>
      </c>
      <c r="W18" s="212" t="str">
        <f>IF(C18="","",VLOOKUP(D18,'10. Condition and Temporal'!$B$6:$C$103,2,FALSE))</f>
        <v/>
      </c>
      <c r="X18" s="211" t="str">
        <f>IF(W18="","",VLOOKUP(W18,'11. Lists'!$F$47:$G$51,2,FALSE))</f>
        <v/>
      </c>
      <c r="Y18" s="213"/>
      <c r="Z18" s="213"/>
      <c r="AA18" s="213"/>
      <c r="AB18" s="214" t="str">
        <f t="shared" si="4"/>
        <v/>
      </c>
      <c r="AC18" s="215" t="str">
        <f>IF(AB18="","",VLOOKUP(AB18,'11. Lists'!$F$36:$H$38,2,FALSE))</f>
        <v/>
      </c>
      <c r="AD18" s="211" t="str">
        <f>IF(AB18="","",VLOOKUP(AB18,'11. Lists'!$F$36:$H$38,3,FALSE))</f>
        <v/>
      </c>
      <c r="AE18" s="216" t="str">
        <f t="shared" si="5"/>
        <v/>
      </c>
      <c r="AF18" s="217" t="str">
        <f t="shared" si="6"/>
        <v/>
      </c>
      <c r="AG18" s="218" t="str">
        <f t="shared" si="7"/>
        <v/>
      </c>
      <c r="AH18" s="219" t="str">
        <f>IF(T18="","",VLOOKUP(T18,'11. Lists'!$B$47:$D$49,3,FALSE))</f>
        <v/>
      </c>
      <c r="AI18" s="220" t="str">
        <f>IF(D18="","",VLOOKUP(D18,'10. Condition and Temporal'!$B$6:$L$103,4,FALSE))</f>
        <v/>
      </c>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row>
    <row r="19" ht="14.25" customHeight="1">
      <c r="A19" s="1"/>
      <c r="B19" s="221">
        <v>9.0</v>
      </c>
      <c r="C19" s="200"/>
      <c r="D19" s="222"/>
      <c r="E19" s="43"/>
      <c r="F19" s="202"/>
      <c r="G19" s="31"/>
      <c r="H19" s="32"/>
      <c r="I19" s="203"/>
      <c r="J19" s="223"/>
      <c r="K19" s="205"/>
      <c r="L19" s="224" t="str">
        <f t="shared" si="1"/>
        <v/>
      </c>
      <c r="M19" s="224" t="str">
        <f t="shared" si="2"/>
        <v/>
      </c>
      <c r="N19" s="225" t="str">
        <f t="shared" si="3"/>
        <v/>
      </c>
      <c r="O19" s="226"/>
      <c r="P19" s="227"/>
      <c r="Q19" s="1"/>
      <c r="R19" s="161"/>
      <c r="S19" s="1"/>
      <c r="T19" s="210" t="str">
        <f>IF(C19="","",VLOOKUP(D19,'9. All Habitats + Multipliers'!$C$4:$K$102,5,FALSE))</f>
        <v/>
      </c>
      <c r="U19" s="47"/>
      <c r="V19" s="211" t="str">
        <f>IF(T19="","",VLOOKUP(T19,'11. Lists'!$B$47:$D$49,2,FALSE))</f>
        <v/>
      </c>
      <c r="W19" s="212" t="str">
        <f>IF(C19="","",VLOOKUP(D19,'10. Condition and Temporal'!$B$6:$C$103,2,FALSE))</f>
        <v/>
      </c>
      <c r="X19" s="211" t="str">
        <f>IF(W19="","",VLOOKUP(W19,'11. Lists'!$F$47:$G$51,2,FALSE))</f>
        <v/>
      </c>
      <c r="Y19" s="213"/>
      <c r="Z19" s="213"/>
      <c r="AA19" s="213"/>
      <c r="AB19" s="214" t="str">
        <f t="shared" si="4"/>
        <v/>
      </c>
      <c r="AC19" s="215" t="str">
        <f>IF(AB19="","",VLOOKUP(AB19,'11. Lists'!$F$36:$H$38,2,FALSE))</f>
        <v/>
      </c>
      <c r="AD19" s="211" t="str">
        <f>IF(AB19="","",VLOOKUP(AB19,'11. Lists'!$F$36:$H$38,3,FALSE))</f>
        <v/>
      </c>
      <c r="AE19" s="216" t="str">
        <f t="shared" si="5"/>
        <v/>
      </c>
      <c r="AF19" s="217" t="str">
        <f t="shared" si="6"/>
        <v/>
      </c>
      <c r="AG19" s="218" t="str">
        <f t="shared" si="7"/>
        <v/>
      </c>
      <c r="AH19" s="219" t="str">
        <f>IF(T19="","",VLOOKUP(T19,'11. Lists'!$B$47:$D$49,3,FALSE))</f>
        <v/>
      </c>
      <c r="AI19" s="220" t="str">
        <f>IF(D19="","",VLOOKUP(D19,'10. Condition and Temporal'!$B$6:$L$103,4,FALSE))</f>
        <v/>
      </c>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row>
    <row r="20" ht="14.25" customHeight="1">
      <c r="A20" s="1"/>
      <c r="B20" s="221">
        <v>10.0</v>
      </c>
      <c r="C20" s="200"/>
      <c r="D20" s="222"/>
      <c r="E20" s="43"/>
      <c r="F20" s="202"/>
      <c r="G20" s="31"/>
      <c r="H20" s="32"/>
      <c r="I20" s="203"/>
      <c r="J20" s="223"/>
      <c r="K20" s="205"/>
      <c r="L20" s="224" t="str">
        <f t="shared" si="1"/>
        <v/>
      </c>
      <c r="M20" s="224" t="str">
        <f t="shared" si="2"/>
        <v/>
      </c>
      <c r="N20" s="225" t="str">
        <f t="shared" si="3"/>
        <v/>
      </c>
      <c r="O20" s="228"/>
      <c r="P20" s="229"/>
      <c r="Q20" s="1"/>
      <c r="R20" s="161"/>
      <c r="S20" s="1"/>
      <c r="T20" s="210" t="str">
        <f>IF(C20="","",VLOOKUP(D20,'9. All Habitats + Multipliers'!$C$4:$K$102,5,FALSE))</f>
        <v/>
      </c>
      <c r="U20" s="47"/>
      <c r="V20" s="211" t="str">
        <f>IF(T20="","",VLOOKUP(T20,'11. Lists'!$B$47:$D$49,2,FALSE))</f>
        <v/>
      </c>
      <c r="W20" s="212" t="str">
        <f>IF(C20="","",VLOOKUP(D20,'10. Condition and Temporal'!$B$6:$C$103,2,FALSE))</f>
        <v/>
      </c>
      <c r="X20" s="211" t="str">
        <f>IF(W20="","",VLOOKUP(W20,'11. Lists'!$F$47:$G$51,2,FALSE))</f>
        <v/>
      </c>
      <c r="Y20" s="213"/>
      <c r="Z20" s="213"/>
      <c r="AA20" s="213"/>
      <c r="AB20" s="214" t="str">
        <f t="shared" si="4"/>
        <v/>
      </c>
      <c r="AC20" s="215" t="str">
        <f>IF(AB20="","",VLOOKUP(AB20,'11. Lists'!$F$36:$H$38,2,FALSE))</f>
        <v/>
      </c>
      <c r="AD20" s="211" t="str">
        <f>IF(AB20="","",VLOOKUP(AB20,'11. Lists'!$F$36:$H$38,3,FALSE))</f>
        <v/>
      </c>
      <c r="AE20" s="216" t="str">
        <f t="shared" si="5"/>
        <v/>
      </c>
      <c r="AF20" s="217" t="str">
        <f t="shared" si="6"/>
        <v/>
      </c>
      <c r="AG20" s="218" t="str">
        <f t="shared" si="7"/>
        <v/>
      </c>
      <c r="AH20" s="219" t="str">
        <f>IF(T20="","",VLOOKUP(T20,'11. Lists'!$B$47:$D$49,3,FALSE))</f>
        <v/>
      </c>
      <c r="AI20" s="220" t="str">
        <f>IF(D20="","",VLOOKUP(D20,'10. Condition and Temporal'!$B$6:$L$103,4,FALSE))</f>
        <v/>
      </c>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row>
    <row r="21" ht="14.25" customHeight="1">
      <c r="A21" s="1"/>
      <c r="B21" s="221">
        <v>11.0</v>
      </c>
      <c r="C21" s="200"/>
      <c r="D21" s="222"/>
      <c r="E21" s="43"/>
      <c r="F21" s="202"/>
      <c r="G21" s="31"/>
      <c r="H21" s="32"/>
      <c r="I21" s="203"/>
      <c r="J21" s="223"/>
      <c r="K21" s="205"/>
      <c r="L21" s="224" t="str">
        <f t="shared" si="1"/>
        <v/>
      </c>
      <c r="M21" s="224" t="str">
        <f t="shared" si="2"/>
        <v/>
      </c>
      <c r="N21" s="225" t="str">
        <f t="shared" si="3"/>
        <v/>
      </c>
      <c r="O21" s="228"/>
      <c r="P21" s="229"/>
      <c r="Q21" s="1"/>
      <c r="R21" s="161"/>
      <c r="S21" s="1"/>
      <c r="T21" s="210" t="str">
        <f>IF(C21="","",VLOOKUP(D21,'9. All Habitats + Multipliers'!$C$4:$K$102,5,FALSE))</f>
        <v/>
      </c>
      <c r="U21" s="47"/>
      <c r="V21" s="211" t="str">
        <f>IF(T21="","",VLOOKUP(T21,'11. Lists'!$B$47:$D$49,2,FALSE))</f>
        <v/>
      </c>
      <c r="W21" s="212" t="str">
        <f>IF(C21="","",VLOOKUP(D21,'10. Condition and Temporal'!$B$6:$C$103,2,FALSE))</f>
        <v/>
      </c>
      <c r="X21" s="211" t="str">
        <f>IF(W21="","",VLOOKUP(W21,'11. Lists'!$F$47:$G$51,2,FALSE))</f>
        <v/>
      </c>
      <c r="Y21" s="213"/>
      <c r="Z21" s="213"/>
      <c r="AA21" s="213"/>
      <c r="AB21" s="214" t="str">
        <f t="shared" si="4"/>
        <v/>
      </c>
      <c r="AC21" s="215" t="str">
        <f>IF(AB21="","",VLOOKUP(AB21,'11. Lists'!$F$36:$H$38,2,FALSE))</f>
        <v/>
      </c>
      <c r="AD21" s="211" t="str">
        <f>IF(AB21="","",VLOOKUP(AB21,'11. Lists'!$F$36:$H$38,3,FALSE))</f>
        <v/>
      </c>
      <c r="AE21" s="216" t="str">
        <f t="shared" si="5"/>
        <v/>
      </c>
      <c r="AF21" s="217" t="str">
        <f t="shared" si="6"/>
        <v/>
      </c>
      <c r="AG21" s="218" t="str">
        <f t="shared" si="7"/>
        <v/>
      </c>
      <c r="AH21" s="219" t="str">
        <f>IF(T21="","",VLOOKUP(T21,'11. Lists'!$B$47:$D$49,3,FALSE))</f>
        <v/>
      </c>
      <c r="AI21" s="220" t="str">
        <f>IF(D21="","",VLOOKUP(D21,'10. Condition and Temporal'!$B$6:$L$103,4,FALSE))</f>
        <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row>
    <row r="22" ht="14.25" customHeight="1">
      <c r="A22" s="1"/>
      <c r="B22" s="221">
        <v>12.0</v>
      </c>
      <c r="C22" s="200"/>
      <c r="D22" s="222"/>
      <c r="E22" s="43"/>
      <c r="F22" s="202"/>
      <c r="G22" s="31"/>
      <c r="H22" s="32"/>
      <c r="I22" s="203"/>
      <c r="J22" s="223"/>
      <c r="K22" s="205"/>
      <c r="L22" s="224" t="str">
        <f t="shared" si="1"/>
        <v/>
      </c>
      <c r="M22" s="224" t="str">
        <f t="shared" si="2"/>
        <v/>
      </c>
      <c r="N22" s="225" t="str">
        <f t="shared" si="3"/>
        <v/>
      </c>
      <c r="O22" s="228"/>
      <c r="P22" s="229"/>
      <c r="Q22" s="1"/>
      <c r="R22" s="161"/>
      <c r="S22" s="1"/>
      <c r="T22" s="210" t="str">
        <f>IF(C22="","",VLOOKUP(D22,'9. All Habitats + Multipliers'!$C$4:$K$102,5,FALSE))</f>
        <v/>
      </c>
      <c r="U22" s="47"/>
      <c r="V22" s="211" t="str">
        <f>IF(T22="","",VLOOKUP(T22,'11. Lists'!$B$47:$D$49,2,FALSE))</f>
        <v/>
      </c>
      <c r="W22" s="212" t="str">
        <f>IF(C22="","",VLOOKUP(D22,'10. Condition and Temporal'!$B$6:$C$103,2,FALSE))</f>
        <v/>
      </c>
      <c r="X22" s="211" t="str">
        <f>IF(W22="","",VLOOKUP(W22,'11. Lists'!$F$47:$G$51,2,FALSE))</f>
        <v/>
      </c>
      <c r="Y22" s="213"/>
      <c r="Z22" s="213"/>
      <c r="AA22" s="213"/>
      <c r="AB22" s="214" t="str">
        <f t="shared" si="4"/>
        <v/>
      </c>
      <c r="AC22" s="215" t="str">
        <f>IF(AB22="","",VLOOKUP(AB22,'11. Lists'!$F$36:$H$38,2,FALSE))</f>
        <v/>
      </c>
      <c r="AD22" s="211" t="str">
        <f>IF(AB22="","",VLOOKUP(AB22,'11. Lists'!$F$36:$H$38,3,FALSE))</f>
        <v/>
      </c>
      <c r="AE22" s="216" t="str">
        <f t="shared" si="5"/>
        <v/>
      </c>
      <c r="AF22" s="217" t="str">
        <f t="shared" si="6"/>
        <v/>
      </c>
      <c r="AG22" s="218" t="str">
        <f t="shared" si="7"/>
        <v/>
      </c>
      <c r="AH22" s="219" t="str">
        <f>IF(T22="","",VLOOKUP(T22,'11. Lists'!$B$47:$D$49,3,FALSE))</f>
        <v/>
      </c>
      <c r="AI22" s="220" t="str">
        <f>IF(D22="","",VLOOKUP(D22,'10. Condition and Temporal'!$B$6:$L$103,4,FALSE))</f>
        <v/>
      </c>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row>
    <row r="23" ht="14.25" customHeight="1">
      <c r="A23" s="1"/>
      <c r="B23" s="221">
        <v>13.0</v>
      </c>
      <c r="C23" s="230"/>
      <c r="D23" s="222"/>
      <c r="E23" s="43"/>
      <c r="F23" s="202"/>
      <c r="G23" s="31"/>
      <c r="H23" s="32"/>
      <c r="I23" s="203"/>
      <c r="J23" s="223"/>
      <c r="K23" s="205"/>
      <c r="L23" s="224" t="str">
        <f t="shared" si="1"/>
        <v/>
      </c>
      <c r="M23" s="224" t="str">
        <f t="shared" si="2"/>
        <v/>
      </c>
      <c r="N23" s="225" t="str">
        <f t="shared" si="3"/>
        <v/>
      </c>
      <c r="O23" s="228"/>
      <c r="P23" s="229"/>
      <c r="Q23" s="1"/>
      <c r="R23" s="161"/>
      <c r="S23" s="1"/>
      <c r="T23" s="210" t="str">
        <f>IF(C23="","",VLOOKUP(D23,'9. All Habitats + Multipliers'!$C$4:$K$102,5,FALSE))</f>
        <v/>
      </c>
      <c r="U23" s="47"/>
      <c r="V23" s="211" t="str">
        <f>IF(T23="","",VLOOKUP(T23,'11. Lists'!$B$47:$D$49,2,FALSE))</f>
        <v/>
      </c>
      <c r="W23" s="212" t="str">
        <f>IF(C23="","",VLOOKUP(D23,'10. Condition and Temporal'!$B$6:$C$103,2,FALSE))</f>
        <v/>
      </c>
      <c r="X23" s="211" t="str">
        <f>IF(W23="","",VLOOKUP(W23,'11. Lists'!$F$47:$G$51,2,FALSE))</f>
        <v/>
      </c>
      <c r="Y23" s="213"/>
      <c r="Z23" s="213"/>
      <c r="AA23" s="213"/>
      <c r="AB23" s="214" t="str">
        <f t="shared" si="4"/>
        <v/>
      </c>
      <c r="AC23" s="215" t="str">
        <f>IF(AB23="","",VLOOKUP(AB23,'11. Lists'!$F$36:$H$38,2,FALSE))</f>
        <v/>
      </c>
      <c r="AD23" s="211" t="str">
        <f>IF(AB23="","",VLOOKUP(AB23,'11. Lists'!$F$36:$H$38,3,FALSE))</f>
        <v/>
      </c>
      <c r="AE23" s="216" t="str">
        <f t="shared" si="5"/>
        <v/>
      </c>
      <c r="AF23" s="217" t="str">
        <f t="shared" si="6"/>
        <v/>
      </c>
      <c r="AG23" s="218" t="str">
        <f t="shared" si="7"/>
        <v/>
      </c>
      <c r="AH23" s="219" t="str">
        <f>IF(T23="","",VLOOKUP(T23,'11. Lists'!$B$47:$D$49,3,FALSE))</f>
        <v/>
      </c>
      <c r="AI23" s="220" t="str">
        <f>IF(D23="","",VLOOKUP(D23,'10. Condition and Temporal'!$B$6:$L$103,4,FALSE))</f>
        <v/>
      </c>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row>
    <row r="24" ht="14.25" customHeight="1">
      <c r="A24" s="1"/>
      <c r="B24" s="221">
        <v>14.0</v>
      </c>
      <c r="C24" s="230"/>
      <c r="D24" s="222"/>
      <c r="E24" s="43"/>
      <c r="F24" s="202"/>
      <c r="G24" s="31"/>
      <c r="H24" s="32"/>
      <c r="I24" s="203"/>
      <c r="J24" s="223"/>
      <c r="K24" s="205"/>
      <c r="L24" s="224" t="str">
        <f t="shared" si="1"/>
        <v/>
      </c>
      <c r="M24" s="224" t="str">
        <f t="shared" si="2"/>
        <v/>
      </c>
      <c r="N24" s="225" t="str">
        <f t="shared" si="3"/>
        <v/>
      </c>
      <c r="O24" s="228"/>
      <c r="P24" s="229"/>
      <c r="Q24" s="1"/>
      <c r="R24" s="161"/>
      <c r="S24" s="1"/>
      <c r="T24" s="210" t="str">
        <f>IF(C24="","",VLOOKUP(D24,'9. All Habitats + Multipliers'!$C$4:$K$102,5,FALSE))</f>
        <v/>
      </c>
      <c r="U24" s="47"/>
      <c r="V24" s="211" t="str">
        <f>IF(T24="","",VLOOKUP(T24,'11. Lists'!$B$47:$D$49,2,FALSE))</f>
        <v/>
      </c>
      <c r="W24" s="212" t="str">
        <f>IF(C24="","",VLOOKUP(D24,'10. Condition and Temporal'!$B$6:$C$103,2,FALSE))</f>
        <v/>
      </c>
      <c r="X24" s="211" t="str">
        <f>IF(W24="","",VLOOKUP(W24,'11. Lists'!$F$47:$G$51,2,FALSE))</f>
        <v/>
      </c>
      <c r="Y24" s="213"/>
      <c r="Z24" s="213"/>
      <c r="AA24" s="213"/>
      <c r="AB24" s="214" t="str">
        <f t="shared" si="4"/>
        <v/>
      </c>
      <c r="AC24" s="215" t="str">
        <f>IF(AB24="","",VLOOKUP(AB24,'11. Lists'!$F$36:$H$38,2,FALSE))</f>
        <v/>
      </c>
      <c r="AD24" s="211" t="str">
        <f>IF(AB24="","",VLOOKUP(AB24,'11. Lists'!$F$36:$H$38,3,FALSE))</f>
        <v/>
      </c>
      <c r="AE24" s="216" t="str">
        <f t="shared" si="5"/>
        <v/>
      </c>
      <c r="AF24" s="217" t="str">
        <f t="shared" si="6"/>
        <v/>
      </c>
      <c r="AG24" s="218" t="str">
        <f t="shared" si="7"/>
        <v/>
      </c>
      <c r="AH24" s="219" t="str">
        <f>IF(T24="","",VLOOKUP(T24,'11. Lists'!$B$47:$D$49,3,FALSE))</f>
        <v/>
      </c>
      <c r="AI24" s="220" t="str">
        <f>IF(D24="","",VLOOKUP(D24,'10. Condition and Temporal'!$B$6:$L$103,4,FALSE))</f>
        <v/>
      </c>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row>
    <row r="25" ht="14.25" customHeight="1">
      <c r="A25" s="1"/>
      <c r="B25" s="221">
        <v>15.0</v>
      </c>
      <c r="C25" s="230"/>
      <c r="D25" s="222"/>
      <c r="E25" s="43"/>
      <c r="F25" s="202"/>
      <c r="G25" s="31"/>
      <c r="H25" s="32"/>
      <c r="I25" s="203"/>
      <c r="J25" s="223"/>
      <c r="K25" s="205"/>
      <c r="L25" s="224" t="str">
        <f t="shared" si="1"/>
        <v/>
      </c>
      <c r="M25" s="224" t="str">
        <f t="shared" si="2"/>
        <v/>
      </c>
      <c r="N25" s="225" t="str">
        <f t="shared" si="3"/>
        <v/>
      </c>
      <c r="O25" s="228"/>
      <c r="P25" s="229"/>
      <c r="Q25" s="1"/>
      <c r="R25" s="161"/>
      <c r="S25" s="1"/>
      <c r="T25" s="210" t="str">
        <f>IF(C25="","",VLOOKUP(D25,'9. All Habitats + Multipliers'!$C$4:$K$102,5,FALSE))</f>
        <v/>
      </c>
      <c r="U25" s="47"/>
      <c r="V25" s="211" t="str">
        <f>IF(T25="","",VLOOKUP(T25,'11. Lists'!$B$47:$D$49,2,FALSE))</f>
        <v/>
      </c>
      <c r="W25" s="212" t="str">
        <f>IF(C25="","",VLOOKUP(D25,'10. Condition and Temporal'!$B$6:$C$103,2,FALSE))</f>
        <v/>
      </c>
      <c r="X25" s="211" t="str">
        <f>IF(W25="","",VLOOKUP(W25,'11. Lists'!$F$47:$G$51,2,FALSE))</f>
        <v/>
      </c>
      <c r="Y25" s="213"/>
      <c r="Z25" s="213"/>
      <c r="AA25" s="213"/>
      <c r="AB25" s="214" t="str">
        <f t="shared" si="4"/>
        <v/>
      </c>
      <c r="AC25" s="215" t="str">
        <f>IF(AB25="","",VLOOKUP(AB25,'11. Lists'!$F$36:$H$38,2,FALSE))</f>
        <v/>
      </c>
      <c r="AD25" s="211" t="str">
        <f>IF(AB25="","",VLOOKUP(AB25,'11. Lists'!$F$36:$H$38,3,FALSE))</f>
        <v/>
      </c>
      <c r="AE25" s="216" t="str">
        <f t="shared" si="5"/>
        <v/>
      </c>
      <c r="AF25" s="217" t="str">
        <f t="shared" si="6"/>
        <v/>
      </c>
      <c r="AG25" s="218" t="str">
        <f t="shared" si="7"/>
        <v/>
      </c>
      <c r="AH25" s="219" t="str">
        <f>IF(T25="","",VLOOKUP(T25,'11. Lists'!$B$47:$D$49,3,FALSE))</f>
        <v/>
      </c>
      <c r="AI25" s="220" t="str">
        <f>IF(D25="","",VLOOKUP(D25,'10. Condition and Temporal'!$B$6:$L$103,4,FALSE))</f>
        <v/>
      </c>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row>
    <row r="26" ht="14.25" customHeight="1">
      <c r="A26" s="1"/>
      <c r="B26" s="221">
        <v>16.0</v>
      </c>
      <c r="C26" s="230"/>
      <c r="D26" s="222"/>
      <c r="E26" s="43"/>
      <c r="F26" s="202"/>
      <c r="G26" s="31"/>
      <c r="H26" s="32"/>
      <c r="I26" s="203"/>
      <c r="J26" s="223"/>
      <c r="K26" s="205"/>
      <c r="L26" s="224" t="str">
        <f t="shared" si="1"/>
        <v/>
      </c>
      <c r="M26" s="224" t="str">
        <f t="shared" si="2"/>
        <v/>
      </c>
      <c r="N26" s="225" t="str">
        <f t="shared" si="3"/>
        <v/>
      </c>
      <c r="O26" s="228"/>
      <c r="P26" s="229"/>
      <c r="Q26" s="1"/>
      <c r="R26" s="161"/>
      <c r="S26" s="1"/>
      <c r="T26" s="210" t="str">
        <f>IF(C26="","",VLOOKUP(D26,'9. All Habitats + Multipliers'!$C$4:$K$102,5,FALSE))</f>
        <v/>
      </c>
      <c r="U26" s="47"/>
      <c r="V26" s="211" t="str">
        <f>IF(T26="","",VLOOKUP(T26,'11. Lists'!$B$47:$D$49,2,FALSE))</f>
        <v/>
      </c>
      <c r="W26" s="212" t="str">
        <f>IF(C26="","",VLOOKUP(D26,'10. Condition and Temporal'!$B$6:$C$103,2,FALSE))</f>
        <v/>
      </c>
      <c r="X26" s="211" t="str">
        <f>IF(W26="","",VLOOKUP(W26,'11. Lists'!$F$47:$G$51,2,FALSE))</f>
        <v/>
      </c>
      <c r="Y26" s="213"/>
      <c r="Z26" s="213"/>
      <c r="AA26" s="213"/>
      <c r="AB26" s="214" t="str">
        <f t="shared" si="4"/>
        <v/>
      </c>
      <c r="AC26" s="215" t="str">
        <f>IF(AB26="","",VLOOKUP(AB26,'11. Lists'!$F$36:$H$38,2,FALSE))</f>
        <v/>
      </c>
      <c r="AD26" s="211" t="str">
        <f>IF(AB26="","",VLOOKUP(AB26,'11. Lists'!$F$36:$H$38,3,FALSE))</f>
        <v/>
      </c>
      <c r="AE26" s="216" t="str">
        <f t="shared" si="5"/>
        <v/>
      </c>
      <c r="AF26" s="217" t="str">
        <f t="shared" si="6"/>
        <v/>
      </c>
      <c r="AG26" s="218" t="str">
        <f t="shared" si="7"/>
        <v/>
      </c>
      <c r="AH26" s="219" t="str">
        <f>IF(T26="","",VLOOKUP(T26,'11. Lists'!$B$47:$D$49,3,FALSE))</f>
        <v/>
      </c>
      <c r="AI26" s="220" t="str">
        <f>IF(D26="","",VLOOKUP(D26,'10. Condition and Temporal'!$B$6:$L$103,4,FALSE))</f>
        <v/>
      </c>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row>
    <row r="27" ht="14.25" customHeight="1">
      <c r="A27" s="1"/>
      <c r="B27" s="221">
        <v>17.0</v>
      </c>
      <c r="C27" s="230"/>
      <c r="D27" s="222"/>
      <c r="E27" s="43"/>
      <c r="F27" s="202"/>
      <c r="G27" s="31"/>
      <c r="H27" s="32"/>
      <c r="I27" s="203"/>
      <c r="J27" s="223"/>
      <c r="K27" s="205"/>
      <c r="L27" s="224" t="str">
        <f t="shared" si="1"/>
        <v/>
      </c>
      <c r="M27" s="224" t="str">
        <f t="shared" si="2"/>
        <v/>
      </c>
      <c r="N27" s="225" t="str">
        <f t="shared" si="3"/>
        <v/>
      </c>
      <c r="O27" s="228"/>
      <c r="P27" s="229"/>
      <c r="Q27" s="1"/>
      <c r="R27" s="161"/>
      <c r="S27" s="1"/>
      <c r="T27" s="210" t="str">
        <f>IF(C27="","",VLOOKUP(D27,'9. All Habitats + Multipliers'!$C$4:$K$102,5,FALSE))</f>
        <v/>
      </c>
      <c r="U27" s="47"/>
      <c r="V27" s="211" t="str">
        <f>IF(T27="","",VLOOKUP(T27,'11. Lists'!$B$47:$D$49,2,FALSE))</f>
        <v/>
      </c>
      <c r="W27" s="212" t="str">
        <f>IF(C27="","",VLOOKUP(D27,'10. Condition and Temporal'!$B$6:$C$103,2,FALSE))</f>
        <v/>
      </c>
      <c r="X27" s="211" t="str">
        <f>IF(W27="","",VLOOKUP(W27,'11. Lists'!$F$47:$G$51,2,FALSE))</f>
        <v/>
      </c>
      <c r="Y27" s="213"/>
      <c r="Z27" s="213"/>
      <c r="AA27" s="213"/>
      <c r="AB27" s="214" t="str">
        <f t="shared" si="4"/>
        <v/>
      </c>
      <c r="AC27" s="215" t="str">
        <f>IF(AB27="","",VLOOKUP(AB27,'11. Lists'!$F$36:$H$38,2,FALSE))</f>
        <v/>
      </c>
      <c r="AD27" s="211" t="str">
        <f>IF(AB27="","",VLOOKUP(AB27,'11. Lists'!$F$36:$H$38,3,FALSE))</f>
        <v/>
      </c>
      <c r="AE27" s="216" t="str">
        <f t="shared" si="5"/>
        <v/>
      </c>
      <c r="AF27" s="217" t="str">
        <f t="shared" si="6"/>
        <v/>
      </c>
      <c r="AG27" s="218" t="str">
        <f t="shared" si="7"/>
        <v/>
      </c>
      <c r="AH27" s="219" t="str">
        <f>IF(T27="","",VLOOKUP(T27,'11. Lists'!$B$47:$D$49,3,FALSE))</f>
        <v/>
      </c>
      <c r="AI27" s="220" t="str">
        <f>IF(D27="","",VLOOKUP(D27,'10. Condition and Temporal'!$B$6:$L$103,4,FALSE))</f>
        <v/>
      </c>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row>
    <row r="28" ht="14.25" customHeight="1">
      <c r="A28" s="1"/>
      <c r="B28" s="221">
        <v>18.0</v>
      </c>
      <c r="C28" s="230"/>
      <c r="D28" s="222"/>
      <c r="E28" s="43"/>
      <c r="F28" s="202"/>
      <c r="G28" s="31"/>
      <c r="H28" s="32"/>
      <c r="I28" s="203"/>
      <c r="J28" s="223"/>
      <c r="K28" s="205"/>
      <c r="L28" s="224" t="str">
        <f t="shared" si="1"/>
        <v/>
      </c>
      <c r="M28" s="224" t="str">
        <f t="shared" si="2"/>
        <v/>
      </c>
      <c r="N28" s="225" t="str">
        <f t="shared" si="3"/>
        <v/>
      </c>
      <c r="O28" s="228"/>
      <c r="P28" s="229"/>
      <c r="Q28" s="1"/>
      <c r="R28" s="161"/>
      <c r="S28" s="1"/>
      <c r="T28" s="210" t="str">
        <f>IF(C28="","",VLOOKUP(D28,'9. All Habitats + Multipliers'!$C$4:$K$102,5,FALSE))</f>
        <v/>
      </c>
      <c r="U28" s="47"/>
      <c r="V28" s="211" t="str">
        <f>IF(T28="","",VLOOKUP(T28,'11. Lists'!$B$47:$D$49,2,FALSE))</f>
        <v/>
      </c>
      <c r="W28" s="212" t="str">
        <f>IF(C28="","",VLOOKUP(D28,'10. Condition and Temporal'!$B$6:$C$103,2,FALSE))</f>
        <v/>
      </c>
      <c r="X28" s="211" t="str">
        <f>IF(W28="","",VLOOKUP(W28,'11. Lists'!$F$47:$G$51,2,FALSE))</f>
        <v/>
      </c>
      <c r="Y28" s="213"/>
      <c r="Z28" s="213"/>
      <c r="AA28" s="213"/>
      <c r="AB28" s="214" t="str">
        <f t="shared" si="4"/>
        <v/>
      </c>
      <c r="AC28" s="215" t="str">
        <f>IF(AB28="","",VLOOKUP(AB28,'11. Lists'!$F$36:$H$38,2,FALSE))</f>
        <v/>
      </c>
      <c r="AD28" s="211" t="str">
        <f>IF(AB28="","",VLOOKUP(AB28,'11. Lists'!$F$36:$H$38,3,FALSE))</f>
        <v/>
      </c>
      <c r="AE28" s="216" t="str">
        <f t="shared" si="5"/>
        <v/>
      </c>
      <c r="AF28" s="217" t="str">
        <f t="shared" si="6"/>
        <v/>
      </c>
      <c r="AG28" s="218" t="str">
        <f t="shared" si="7"/>
        <v/>
      </c>
      <c r="AH28" s="219" t="str">
        <f>IF(T28="","",VLOOKUP(T28,'11. Lists'!$B$47:$D$49,3,FALSE))</f>
        <v/>
      </c>
      <c r="AI28" s="220" t="str">
        <f>IF(D28="","",VLOOKUP(D28,'10. Condition and Temporal'!$B$6:$L$103,4,FALSE))</f>
        <v/>
      </c>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row>
    <row r="29" ht="14.25" customHeight="1">
      <c r="A29" s="1"/>
      <c r="B29" s="221">
        <v>19.0</v>
      </c>
      <c r="C29" s="230"/>
      <c r="D29" s="222"/>
      <c r="E29" s="43"/>
      <c r="F29" s="202"/>
      <c r="G29" s="31"/>
      <c r="H29" s="32"/>
      <c r="I29" s="203"/>
      <c r="J29" s="223"/>
      <c r="K29" s="205"/>
      <c r="L29" s="224" t="str">
        <f t="shared" si="1"/>
        <v/>
      </c>
      <c r="M29" s="224" t="str">
        <f t="shared" si="2"/>
        <v/>
      </c>
      <c r="N29" s="225" t="str">
        <f t="shared" si="3"/>
        <v/>
      </c>
      <c r="O29" s="228"/>
      <c r="P29" s="229"/>
      <c r="Q29" s="1"/>
      <c r="R29" s="161"/>
      <c r="S29" s="1"/>
      <c r="T29" s="210" t="str">
        <f>IF(C29="","",VLOOKUP(D29,'9. All Habitats + Multipliers'!$C$4:$K$102,5,FALSE))</f>
        <v/>
      </c>
      <c r="U29" s="47"/>
      <c r="V29" s="211" t="str">
        <f>IF(T29="","",VLOOKUP(T29,'11. Lists'!$B$47:$D$49,2,FALSE))</f>
        <v/>
      </c>
      <c r="W29" s="212" t="str">
        <f>IF(C29="","",VLOOKUP(D29,'10. Condition and Temporal'!$B$6:$C$103,2,FALSE))</f>
        <v/>
      </c>
      <c r="X29" s="211" t="str">
        <f>IF(W29="","",VLOOKUP(W29,'11. Lists'!$F$47:$G$51,2,FALSE))</f>
        <v/>
      </c>
      <c r="Y29" s="213"/>
      <c r="Z29" s="213"/>
      <c r="AA29" s="213"/>
      <c r="AB29" s="214" t="str">
        <f t="shared" si="4"/>
        <v/>
      </c>
      <c r="AC29" s="215" t="str">
        <f>IF(AB29="","",VLOOKUP(AB29,'11. Lists'!$F$36:$H$38,2,FALSE))</f>
        <v/>
      </c>
      <c r="AD29" s="211" t="str">
        <f>IF(AB29="","",VLOOKUP(AB29,'11. Lists'!$F$36:$H$38,3,FALSE))</f>
        <v/>
      </c>
      <c r="AE29" s="216" t="str">
        <f t="shared" si="5"/>
        <v/>
      </c>
      <c r="AF29" s="217" t="str">
        <f t="shared" si="6"/>
        <v/>
      </c>
      <c r="AG29" s="218" t="str">
        <f t="shared" si="7"/>
        <v/>
      </c>
      <c r="AH29" s="219" t="str">
        <f>IF(T29="","",VLOOKUP(T29,'11. Lists'!$B$47:$D$49,3,FALSE))</f>
        <v/>
      </c>
      <c r="AI29" s="220" t="str">
        <f>IF(D29="","",VLOOKUP(D29,'10. Condition and Temporal'!$B$6:$L$103,4,FALSE))</f>
        <v/>
      </c>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ht="14.25" customHeight="1">
      <c r="A30" s="1"/>
      <c r="B30" s="231">
        <v>20.0</v>
      </c>
      <c r="C30" s="200"/>
      <c r="D30" s="232"/>
      <c r="E30" s="54"/>
      <c r="F30" s="202"/>
      <c r="G30" s="31"/>
      <c r="H30" s="32"/>
      <c r="I30" s="203"/>
      <c r="J30" s="223"/>
      <c r="K30" s="205"/>
      <c r="L30" s="233" t="str">
        <f t="shared" si="1"/>
        <v/>
      </c>
      <c r="M30" s="233" t="str">
        <f t="shared" si="2"/>
        <v/>
      </c>
      <c r="N30" s="234" t="str">
        <f t="shared" si="3"/>
        <v/>
      </c>
      <c r="O30" s="235"/>
      <c r="P30" s="236"/>
      <c r="Q30" s="1"/>
      <c r="R30" s="161"/>
      <c r="S30" s="1"/>
      <c r="T30" s="210" t="str">
        <f>IF(C30="","",VLOOKUP(D30,'9. All Habitats + Multipliers'!$C$4:$K$102,5,FALSE))</f>
        <v/>
      </c>
      <c r="U30" s="47"/>
      <c r="V30" s="211" t="str">
        <f>IF(T30="","",VLOOKUP(T30,'11. Lists'!$B$47:$D$49,2,FALSE))</f>
        <v/>
      </c>
      <c r="W30" s="212" t="str">
        <f>IF(C30="","",VLOOKUP(D30,'10. Condition and Temporal'!$B$6:$C$103,2,FALSE))</f>
        <v/>
      </c>
      <c r="X30" s="211" t="str">
        <f>IF(W30="","",VLOOKUP(W30,'11. Lists'!$F$47:$G$51,2,FALSE))</f>
        <v/>
      </c>
      <c r="Y30" s="213"/>
      <c r="Z30" s="213"/>
      <c r="AA30" s="213"/>
      <c r="AB30" s="214" t="str">
        <f t="shared" si="4"/>
        <v/>
      </c>
      <c r="AC30" s="215" t="str">
        <f>IF(AB30="","",VLOOKUP(AB30,'11. Lists'!$F$36:$H$38,2,FALSE))</f>
        <v/>
      </c>
      <c r="AD30" s="211" t="str">
        <f>IF(AB30="","",VLOOKUP(AB30,'11. Lists'!$F$36:$H$38,3,FALSE))</f>
        <v/>
      </c>
      <c r="AE30" s="216" t="str">
        <f t="shared" si="5"/>
        <v/>
      </c>
      <c r="AF30" s="217" t="str">
        <f t="shared" si="6"/>
        <v/>
      </c>
      <c r="AG30" s="218" t="str">
        <f t="shared" si="7"/>
        <v/>
      </c>
      <c r="AH30" s="219" t="str">
        <f>IF(T30="","",VLOOKUP(T30,'11. Lists'!$B$47:$D$49,3,FALSE))</f>
        <v/>
      </c>
      <c r="AI30" s="220" t="str">
        <f>IF(D30="","",VLOOKUP(D30,'10. Condition and Temporal'!$B$6:$L$103,4,FALSE))</f>
        <v/>
      </c>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ht="14.25" customHeight="1">
      <c r="A31" s="1"/>
      <c r="B31" s="231" t="s">
        <v>120</v>
      </c>
      <c r="C31" s="237" t="s">
        <v>121</v>
      </c>
      <c r="D31" s="238" t="s">
        <v>122</v>
      </c>
      <c r="E31" s="239"/>
      <c r="F31" s="240" t="s">
        <v>123</v>
      </c>
      <c r="G31" s="241"/>
      <c r="H31" s="239"/>
      <c r="I31" s="242">
        <f>I99</f>
        <v>447.6384</v>
      </c>
      <c r="J31" s="243">
        <f>L99</f>
        <v>366.2496</v>
      </c>
      <c r="K31" s="244"/>
      <c r="L31" s="245">
        <f>IF(C31="","",((I31/10000)*V31*X31)*AD31)</f>
        <v>0.411827328</v>
      </c>
      <c r="M31" s="246">
        <f>IF(C31="","",I31-J31-K31)</f>
        <v>81.3888</v>
      </c>
      <c r="N31" s="247">
        <f>IF(C31="","",((M31/10000)*V31*X31)*AD31)</f>
        <v>0.074877696</v>
      </c>
      <c r="O31" s="248"/>
      <c r="P31" s="249"/>
      <c r="Q31" s="1"/>
      <c r="R31" s="161"/>
      <c r="S31" s="1"/>
      <c r="T31" s="250" t="str">
        <f>IF(C31="","",VLOOKUP(D31,'9. All Habitats + Multipliers'!$C$4:$K$102,5,FALSE))</f>
        <v>Medium</v>
      </c>
      <c r="U31" s="51"/>
      <c r="V31" s="251">
        <f>IF(T31="","",VLOOKUP(T31,'11. Lists'!$B$47:$D$49,2,FALSE))</f>
        <v>4</v>
      </c>
      <c r="W31" s="252" t="str">
        <f>IF(C31="","",VLOOKUP(D31,'10. Condition and Temporal'!$B$6:$C$103,2,FALSE))</f>
        <v>Moderate</v>
      </c>
      <c r="X31" s="251">
        <f>IF(W31="","",VLOOKUP(W31,'11. Lists'!$F$47:$G$51,2,FALSE))</f>
        <v>2</v>
      </c>
      <c r="Y31" s="213"/>
      <c r="Z31" s="213"/>
      <c r="AA31" s="213"/>
      <c r="AB31" s="253" t="str">
        <f t="shared" si="4"/>
        <v>Formally identified in local strategy</v>
      </c>
      <c r="AC31" s="254" t="str">
        <f>IF(AB31="","",VLOOKUP(AB31,'11. Lists'!$F$36:$H$38,2,FALSE))</f>
        <v>High strategic significance </v>
      </c>
      <c r="AD31" s="251">
        <f>IF(AB31="","",VLOOKUP(AB31,'11. Lists'!$F$36:$H$38,3,FALSE))</f>
        <v>1.15</v>
      </c>
      <c r="AE31" s="255">
        <f>IF(D31="","",((J31/10000)*V31*X31)*(AD31))</f>
        <v>0.336949632</v>
      </c>
      <c r="AF31" s="256">
        <f>IF(D31="","",((K31/10000)*V31*X31)*(AD31))</f>
        <v>0</v>
      </c>
      <c r="AG31" s="257">
        <f t="shared" si="7"/>
        <v>81.3888</v>
      </c>
      <c r="AH31" s="258" t="str">
        <f>IF(T31="","",VLOOKUP(T31,'11. Lists'!$B$47:$D$49,3,FALSE))</f>
        <v>Same broad habitat or a higher distinctiveness habitat required</v>
      </c>
      <c r="AI31" s="220" t="str">
        <f>IF(D31="","",VLOOKUP(D31,'10. Condition and Temporal'!$B$6:$L$103,4,FALSE))</f>
        <v>Urban/rural tree</v>
      </c>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ht="14.25" customHeight="1">
      <c r="A32" s="1"/>
      <c r="B32" s="1"/>
      <c r="C32" s="1"/>
      <c r="D32" s="176"/>
      <c r="E32" s="259"/>
      <c r="F32" s="259"/>
      <c r="G32" s="259"/>
      <c r="H32" s="260" t="s">
        <v>124</v>
      </c>
      <c r="I32" s="261">
        <f>SUMIFS(I11:I30,D11:D30,"&lt;&gt;"&amp;'11. Lists'!Q10,D11:D30,"&lt;&gt;"&amp;'11. Lists'!Q11,D11:D30,"&lt;&gt;"&amp;'11. Lists'!I4,D11:D30,"&lt;&gt;"&amp;'11. Lists'!I2,D11:D30,"&lt;&gt;"&amp;'11. Lists'!I3)</f>
        <v>1027</v>
      </c>
      <c r="J32" s="262">
        <f>SUMIFS(J11:J30,D11:D30,"&lt;&gt;"&amp;'11. Lists'!Q10,D11:D30,"&lt;&gt;"&amp;'11. Lists'!Q11,D11:D30,"&lt;&gt;"&amp;'11. Lists'!I4,D11:D30,"&lt;&gt;"&amp;'11. Lists'!I2,D11:D30,"&lt;&gt;"&amp;'11. Lists'!I3)</f>
        <v>753</v>
      </c>
      <c r="K32" s="263">
        <f>SUMIFS(K11:K30,D11:D30,"&lt;&gt;"&amp;'11. Lists'!Q10,D11:D30,"&lt;&gt;"&amp;'11. Lists'!Q11,D11:D30,"&lt;&gt;"&amp;'11. Lists'!I4,D11:D30,"&lt;&gt;"&amp;'11. Lists'!I2,D11:D30,"&lt;&gt;"&amp;'11. Lists'!I3)</f>
        <v>0</v>
      </c>
      <c r="L32" s="264">
        <f>SUM(L11:L31)</f>
        <v>0.610227328</v>
      </c>
      <c r="M32" s="265">
        <f>SUMIFS(M11:M30,D11:D30,"&lt;&gt;"&amp;'11. Lists'!Q10,D11:D30,"&lt;&gt;"&amp;'11. Lists'!Q11,D11:D30,"&lt;&gt;"&amp;'11. Lists'!I4,D11:D30,"&lt;&gt;"&amp;'11. Lists'!I2,D11:D30,"&lt;&gt;"&amp;'11. Lists'!I3)</f>
        <v>274</v>
      </c>
      <c r="N32" s="266">
        <f>SUM(N11:N31)</f>
        <v>0.184477696</v>
      </c>
      <c r="O32" s="1"/>
      <c r="P32" s="1"/>
      <c r="Q32" s="1"/>
      <c r="R32" s="20"/>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ht="14.25" customHeight="1">
      <c r="A33" s="1"/>
      <c r="B33" s="1"/>
      <c r="C33" s="1"/>
      <c r="D33" s="176"/>
      <c r="E33" s="259"/>
      <c r="F33" s="259"/>
      <c r="G33" s="259"/>
      <c r="H33" s="267" t="s">
        <v>125</v>
      </c>
      <c r="I33" s="26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179"/>
      <c r="K33" s="179"/>
      <c r="L33" s="179"/>
      <c r="M33" s="179"/>
      <c r="N33" s="60"/>
      <c r="O33" s="10">
        <f t="shared" ref="O33:O35" si="8">IFERROR(FIND("Error",I33),0)</f>
        <v>0</v>
      </c>
      <c r="P33" s="1"/>
      <c r="Q33" s="1"/>
      <c r="R33" s="269"/>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ht="14.25" customHeight="1">
      <c r="A34" s="1"/>
      <c r="B34" s="1"/>
      <c r="C34" s="1"/>
      <c r="D34" s="176"/>
      <c r="E34" s="259"/>
      <c r="F34" s="259"/>
      <c r="G34" s="259"/>
      <c r="H34" s="270" t="s">
        <v>126</v>
      </c>
      <c r="I34" s="271" t="str">
        <f>IF(I32&lt;J32+K32,"Error - Areas Retained and Enhanced Exceed Total Area ▲","Areas Acceptable ✓")</f>
        <v>Areas Acceptable ✓</v>
      </c>
      <c r="J34" s="42"/>
      <c r="K34" s="42"/>
      <c r="L34" s="42"/>
      <c r="M34" s="42"/>
      <c r="N34" s="43"/>
      <c r="O34" s="10">
        <f t="shared" si="8"/>
        <v>0</v>
      </c>
      <c r="P34" s="1"/>
      <c r="Q34" s="1"/>
      <c r="R34" s="269"/>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ht="14.25" customHeight="1">
      <c r="A35" s="1"/>
      <c r="B35" s="1"/>
      <c r="C35" s="1"/>
      <c r="D35" s="176"/>
      <c r="E35" s="259"/>
      <c r="F35" s="259"/>
      <c r="G35" s="259"/>
      <c r="H35" s="272" t="s">
        <v>127</v>
      </c>
      <c r="I35" s="273" t="str">
        <f>IF(I32=0,"Areas Acceptable ✓",IF(I32&lt;&gt;'3. Desktop Assessment'!C7,"Error - Areas Entered Does Not Match Stated Site Area ▲","Areas Acceptable ✓"))</f>
        <v>Areas Acceptable ✓</v>
      </c>
      <c r="J35" s="53"/>
      <c r="K35" s="53"/>
      <c r="L35" s="53"/>
      <c r="M35" s="53"/>
      <c r="N35" s="54"/>
      <c r="O35" s="10">
        <f t="shared" si="8"/>
        <v>0</v>
      </c>
      <c r="P35" s="1"/>
      <c r="Q35" s="1"/>
      <c r="R35" s="153" t="s">
        <v>77</v>
      </c>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ht="14.25" customHeight="1">
      <c r="A36" s="1"/>
      <c r="B36" s="128" t="s">
        <v>128</v>
      </c>
      <c r="C36" s="1"/>
      <c r="D36" s="174"/>
      <c r="E36" s="259"/>
      <c r="F36" s="259"/>
      <c r="G36" s="259"/>
      <c r="H36" s="1"/>
      <c r="I36" s="154"/>
      <c r="J36" s="1"/>
      <c r="K36" s="1"/>
      <c r="L36" s="1"/>
      <c r="M36" s="1"/>
      <c r="N36" s="1"/>
      <c r="O36" s="10">
        <f>COUNTIF(L11:N30,"*"&amp;"error"&amp;"*")</f>
        <v>0</v>
      </c>
      <c r="P36" s="1"/>
      <c r="Q36" s="1"/>
      <c r="R36" s="16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ht="15.75" customHeight="1">
      <c r="A37" s="1"/>
      <c r="B37" s="1"/>
      <c r="C37" s="1"/>
      <c r="D37" s="1"/>
      <c r="E37" s="1"/>
      <c r="F37" s="1"/>
      <c r="G37" s="1"/>
      <c r="H37" s="1"/>
      <c r="I37" s="1"/>
      <c r="J37" s="1"/>
      <c r="K37" s="1"/>
      <c r="L37" s="1"/>
      <c r="M37" s="1"/>
      <c r="N37" s="1"/>
      <c r="O37" s="1"/>
      <c r="P37" s="1"/>
      <c r="Q37" s="1"/>
      <c r="R37" s="16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ht="15.75" customHeight="1">
      <c r="A38" s="1"/>
      <c r="B38" s="177" t="s">
        <v>71</v>
      </c>
      <c r="C38" s="274"/>
      <c r="D38" s="275"/>
      <c r="E38" s="178" t="s">
        <v>129</v>
      </c>
      <c r="F38" s="179"/>
      <c r="G38" s="60"/>
      <c r="H38" s="276" t="s">
        <v>130</v>
      </c>
      <c r="I38" s="180" t="s">
        <v>131</v>
      </c>
      <c r="J38" s="26"/>
      <c r="K38" s="27"/>
      <c r="L38" s="277" t="s">
        <v>132</v>
      </c>
      <c r="M38" s="26"/>
      <c r="N38" s="278"/>
      <c r="O38" s="178" t="s">
        <v>90</v>
      </c>
      <c r="P38" s="60"/>
      <c r="Q38" s="1"/>
      <c r="R38" s="161"/>
      <c r="S38" s="1"/>
      <c r="T38" s="182" t="s">
        <v>91</v>
      </c>
      <c r="U38" s="179"/>
      <c r="V38" s="60"/>
      <c r="W38" s="183" t="s">
        <v>92</v>
      </c>
      <c r="X38" s="60"/>
      <c r="Y38" s="184"/>
      <c r="Z38" s="14"/>
      <c r="AA38" s="15"/>
      <c r="AB38" s="182" t="s">
        <v>93</v>
      </c>
      <c r="AC38" s="179"/>
      <c r="AD38" s="60"/>
      <c r="AE38" s="182" t="s">
        <v>133</v>
      </c>
      <c r="AF38" s="60"/>
      <c r="AG38" s="182" t="s">
        <v>134</v>
      </c>
      <c r="AH38" s="60"/>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ht="14.25" customHeight="1">
      <c r="A39" s="1"/>
      <c r="B39" s="187"/>
      <c r="C39" s="189" t="s">
        <v>97</v>
      </c>
      <c r="D39" s="279" t="s">
        <v>135</v>
      </c>
      <c r="E39" s="168" t="s">
        <v>136</v>
      </c>
      <c r="F39" s="280" t="s">
        <v>137</v>
      </c>
      <c r="G39" s="54"/>
      <c r="H39" s="281"/>
      <c r="I39" s="170"/>
      <c r="J39" s="171"/>
      <c r="K39" s="172"/>
      <c r="L39" s="282"/>
      <c r="M39" s="171"/>
      <c r="N39" s="283"/>
      <c r="O39" s="168" t="s">
        <v>105</v>
      </c>
      <c r="P39" s="190" t="s">
        <v>106</v>
      </c>
      <c r="Q39" s="1"/>
      <c r="R39" s="161"/>
      <c r="S39" s="1"/>
      <c r="T39" s="191" t="s">
        <v>107</v>
      </c>
      <c r="U39" s="47"/>
      <c r="V39" s="192" t="s">
        <v>108</v>
      </c>
      <c r="W39" s="193" t="s">
        <v>109</v>
      </c>
      <c r="X39" s="192" t="s">
        <v>108</v>
      </c>
      <c r="Y39" s="194"/>
      <c r="Z39" s="194"/>
      <c r="AA39" s="194"/>
      <c r="AB39" s="195" t="s">
        <v>93</v>
      </c>
      <c r="AC39" s="196" t="s">
        <v>93</v>
      </c>
      <c r="AD39" s="192" t="s">
        <v>110</v>
      </c>
      <c r="AE39" s="195" t="s">
        <v>138</v>
      </c>
      <c r="AF39" s="192" t="s">
        <v>139</v>
      </c>
      <c r="AG39" s="195" t="s">
        <v>140</v>
      </c>
      <c r="AH39" s="192" t="s">
        <v>141</v>
      </c>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row>
    <row r="40" ht="14.25" customHeight="1">
      <c r="A40" s="1"/>
      <c r="B40" s="199">
        <v>1.0</v>
      </c>
      <c r="C40" s="284" t="s">
        <v>114</v>
      </c>
      <c r="D40" s="285" t="s">
        <v>115</v>
      </c>
      <c r="E40" s="286" t="str">
        <f>IF(D40="","",VLOOKUP(D40,'10. Condition and Temporal'!$B$6:$D$103,3,FALSE))</f>
        <v>N/A - Other</v>
      </c>
      <c r="F40" s="287" t="s">
        <v>142</v>
      </c>
      <c r="G40" s="60"/>
      <c r="H40" s="288" t="s">
        <v>116</v>
      </c>
      <c r="I40" s="289">
        <v>145.0</v>
      </c>
      <c r="J40" s="31"/>
      <c r="K40" s="32"/>
      <c r="L40" s="290">
        <f t="shared" ref="L40:L59" si="9">IF(C40="","",IFERROR(IF(I40="","",((I40/10000)*(V40*X40))*(AH40*AF40)*AD40),"This intervention is not permitted within the SSM ▲"))</f>
        <v>0</v>
      </c>
      <c r="M40" s="291"/>
      <c r="N40" s="292"/>
      <c r="O40" s="293"/>
      <c r="P40" s="285"/>
      <c r="Q40" s="294"/>
      <c r="R40" s="161"/>
      <c r="S40" s="1"/>
      <c r="T40" s="210" t="str">
        <f>IF(C40="","",VLOOKUP(D40,'9. All Habitats + Multipliers'!$C$4:$K$102,5,FALSE))</f>
        <v>V.Low</v>
      </c>
      <c r="U40" s="47"/>
      <c r="V40" s="211">
        <f>IF(T40="","",VLOOKUP(T40,'11. Lists'!$B$47:$D$49,2,FALSE))</f>
        <v>0</v>
      </c>
      <c r="W40" s="212" t="str">
        <f t="shared" ref="W40:W60" si="10">IF(F40="","",F40)</f>
        <v>N/A - Other</v>
      </c>
      <c r="X40" s="211">
        <f>IF(W40="","",VLOOKUP(W40,'11. Lists'!$F$47:$G$51,2,FALSE))</f>
        <v>0</v>
      </c>
      <c r="Y40" s="213"/>
      <c r="Z40" s="213"/>
      <c r="AA40" s="213"/>
      <c r="AB40" s="214" t="str">
        <f t="shared" ref="AB40:AB60" si="11">IF(H40="","",H40)</f>
        <v>Area/compensation not in local strategy/ no local strategy</v>
      </c>
      <c r="AC40" s="215" t="str">
        <f>IF(AB40="","",VLOOKUP(AB40,'11. Lists'!$F$36:$H$38,2,FALSE))</f>
        <v>Low Strategic Significance</v>
      </c>
      <c r="AD40" s="211">
        <f>IF(AB40="","",VLOOKUP(AB40,'11. Lists'!$F$36:$H$38,3,FALSE))</f>
        <v>1</v>
      </c>
      <c r="AE40" s="214">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295">
        <f>IF(AE40="","",VLOOKUP(AE40,'11. Lists'!$I$47:$K$80,3,FALSE))</f>
        <v>1</v>
      </c>
      <c r="AG40" s="214" t="str">
        <f>IF(D40="","",VLOOKUP(D40,'9. All Habitats + Multipliers'!$C$4:$K$102,7,FALSE))</f>
        <v>Low</v>
      </c>
      <c r="AH40" s="211">
        <f>IF(AG40="","",VLOOKUP(AG40,'11. Lists'!$J$35:$K$38,2,FALSE))</f>
        <v>1</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row>
    <row r="41" ht="14.25" customHeight="1">
      <c r="A41" s="1"/>
      <c r="B41" s="221">
        <v>2.0</v>
      </c>
      <c r="C41" s="296" t="s">
        <v>114</v>
      </c>
      <c r="D41" s="285" t="s">
        <v>117</v>
      </c>
      <c r="E41" s="286" t="str">
        <f>IF(D41="","",VLOOKUP(D41,'10. Condition and Temporal'!$B$6:$D$103,3,FALSE))</f>
        <v>Condition Assessment N/A</v>
      </c>
      <c r="F41" s="297" t="s">
        <v>143</v>
      </c>
      <c r="G41" s="43"/>
      <c r="H41" s="298" t="s">
        <v>116</v>
      </c>
      <c r="I41" s="289">
        <v>129.0</v>
      </c>
      <c r="J41" s="31"/>
      <c r="K41" s="32"/>
      <c r="L41" s="290">
        <f t="shared" si="9"/>
        <v>0.024897</v>
      </c>
      <c r="M41" s="291"/>
      <c r="N41" s="292"/>
      <c r="O41" s="299"/>
      <c r="P41" s="300"/>
      <c r="Q41" s="294"/>
      <c r="R41" s="161"/>
      <c r="S41" s="1"/>
      <c r="T41" s="210" t="str">
        <f>IF(C41="","",VLOOKUP(D41,'9. All Habitats + Multipliers'!$C$4:$K$102,5,FALSE))</f>
        <v>Low</v>
      </c>
      <c r="U41" s="47"/>
      <c r="V41" s="211">
        <f>IF(T41="","",VLOOKUP(T41,'11. Lists'!$B$47:$D$49,2,FALSE))</f>
        <v>2</v>
      </c>
      <c r="W41" s="212" t="str">
        <f t="shared" si="10"/>
        <v>Condition Assessment N/A</v>
      </c>
      <c r="X41" s="211">
        <f>IF(W41="","",VLOOKUP(W41,'11. Lists'!$F$47:$G$51,2,FALSE))</f>
        <v>1</v>
      </c>
      <c r="Y41" s="213"/>
      <c r="Z41" s="213"/>
      <c r="AA41" s="213"/>
      <c r="AB41" s="214" t="str">
        <f t="shared" si="11"/>
        <v>Area/compensation not in local strategy/ no local strategy</v>
      </c>
      <c r="AC41" s="215" t="str">
        <f>IF(AB41="","",VLOOKUP(AB41,'11. Lists'!$F$36:$H$38,2,FALSE))</f>
        <v>Low Strategic Significance</v>
      </c>
      <c r="AD41" s="211">
        <f>IF(AB41="","",VLOOKUP(AB41,'11. Lists'!$F$36:$H$38,3,FALSE))</f>
        <v>1</v>
      </c>
      <c r="AE41" s="214">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295">
        <f>IF(AE41="","",VLOOKUP(AE41,'11. Lists'!$I$47:$K$80,3,FALSE))</f>
        <v>0.965</v>
      </c>
      <c r="AG41" s="214" t="str">
        <f>IF(D41="","",VLOOKUP(D41,'9. All Habitats + Multipliers'!$C$4:$K$102,7,FALSE))</f>
        <v>Low</v>
      </c>
      <c r="AH41" s="211">
        <f>IF(AG41="","",VLOOKUP(AG41,'11. Lists'!$J$35:$K$38,2,FALSE))</f>
        <v>1</v>
      </c>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row>
    <row r="42" ht="14.25" customHeight="1">
      <c r="A42" s="1"/>
      <c r="B42" s="221">
        <v>3.0</v>
      </c>
      <c r="C42" s="296"/>
      <c r="D42" s="285"/>
      <c r="E42" s="286" t="str">
        <f>IF(D42="","",VLOOKUP(D42,'10. Condition and Temporal'!$B$6:$D$103,3,FALSE))</f>
        <v/>
      </c>
      <c r="F42" s="297"/>
      <c r="G42" s="43"/>
      <c r="H42" s="298"/>
      <c r="I42" s="289"/>
      <c r="J42" s="31"/>
      <c r="K42" s="32"/>
      <c r="L42" s="290" t="str">
        <f t="shared" si="9"/>
        <v/>
      </c>
      <c r="M42" s="291"/>
      <c r="N42" s="292"/>
      <c r="O42" s="299"/>
      <c r="P42" s="300"/>
      <c r="Q42" s="294"/>
      <c r="R42" s="161"/>
      <c r="S42" s="1"/>
      <c r="T42" s="210" t="str">
        <f>IF(C42="","",VLOOKUP(D42,'9. All Habitats + Multipliers'!$C$4:$K$102,5,FALSE))</f>
        <v/>
      </c>
      <c r="U42" s="47"/>
      <c r="V42" s="211" t="str">
        <f>IF(T42="","",VLOOKUP(T42,'11. Lists'!$B$47:$D$49,2,FALSE))</f>
        <v/>
      </c>
      <c r="W42" s="212" t="str">
        <f t="shared" si="10"/>
        <v/>
      </c>
      <c r="X42" s="211" t="str">
        <f>IF(W42="","",VLOOKUP(W42,'11. Lists'!$F$47:$G$51,2,FALSE))</f>
        <v/>
      </c>
      <c r="Y42" s="213"/>
      <c r="Z42" s="213"/>
      <c r="AA42" s="213"/>
      <c r="AB42" s="214" t="str">
        <f t="shared" si="11"/>
        <v/>
      </c>
      <c r="AC42" s="215" t="str">
        <f>IF(AB42="","",VLOOKUP(AB42,'11. Lists'!$F$36:$H$38,2,FALSE))</f>
        <v/>
      </c>
      <c r="AD42" s="211" t="str">
        <f>IF(AB42="","",VLOOKUP(AB42,'11. Lists'!$F$36:$H$38,3,FALSE))</f>
        <v/>
      </c>
      <c r="AE42" s="214"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295" t="str">
        <f>IF(AE42="","",VLOOKUP(AE42,'11. Lists'!$I$47:$K$80,3,FALSE))</f>
        <v/>
      </c>
      <c r="AG42" s="214" t="str">
        <f>IF(D42="","",VLOOKUP(D42,'9. All Habitats + Multipliers'!$C$4:$K$102,7,FALSE))</f>
        <v/>
      </c>
      <c r="AH42" s="211" t="str">
        <f>IF(AG42="","",VLOOKUP(AG42,'11. Lists'!$J$35:$K$38,2,FALSE))</f>
        <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row>
    <row r="43" ht="14.25" customHeight="1">
      <c r="A43" s="1"/>
      <c r="B43" s="221">
        <v>4.0</v>
      </c>
      <c r="C43" s="296"/>
      <c r="D43" s="285"/>
      <c r="E43" s="286" t="str">
        <f>IF(D43="","",VLOOKUP(D43,'10. Condition and Temporal'!$B$6:$D$103,3,FALSE))</f>
        <v/>
      </c>
      <c r="F43" s="297"/>
      <c r="G43" s="43"/>
      <c r="H43" s="298"/>
      <c r="I43" s="289"/>
      <c r="J43" s="31"/>
      <c r="K43" s="32"/>
      <c r="L43" s="290" t="str">
        <f t="shared" si="9"/>
        <v/>
      </c>
      <c r="M43" s="291"/>
      <c r="N43" s="292"/>
      <c r="O43" s="299"/>
      <c r="P43" s="300"/>
      <c r="Q43" s="294"/>
      <c r="R43" s="161"/>
      <c r="S43" s="1"/>
      <c r="T43" s="210" t="str">
        <f>IF(C43="","",VLOOKUP(D43,'9. All Habitats + Multipliers'!$C$4:$K$102,5,FALSE))</f>
        <v/>
      </c>
      <c r="U43" s="47"/>
      <c r="V43" s="211" t="str">
        <f>IF(T43="","",VLOOKUP(T43,'11. Lists'!$B$47:$D$49,2,FALSE))</f>
        <v/>
      </c>
      <c r="W43" s="212" t="str">
        <f t="shared" si="10"/>
        <v/>
      </c>
      <c r="X43" s="211" t="str">
        <f>IF(W43="","",VLOOKUP(W43,'11. Lists'!$F$47:$G$51,2,FALSE))</f>
        <v/>
      </c>
      <c r="Y43" s="213"/>
      <c r="Z43" s="213"/>
      <c r="AA43" s="213"/>
      <c r="AB43" s="214" t="str">
        <f t="shared" si="11"/>
        <v/>
      </c>
      <c r="AC43" s="215" t="str">
        <f>IF(AB43="","",VLOOKUP(AB43,'11. Lists'!$F$36:$H$38,2,FALSE))</f>
        <v/>
      </c>
      <c r="AD43" s="211" t="str">
        <f>IF(AB43="","",VLOOKUP(AB43,'11. Lists'!$F$36:$H$38,3,FALSE))</f>
        <v/>
      </c>
      <c r="AE43" s="214"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295" t="str">
        <f>IF(AE43="","",VLOOKUP(AE43,'11. Lists'!$I$47:$K$80,3,FALSE))</f>
        <v/>
      </c>
      <c r="AG43" s="214" t="str">
        <f>IF(D43="","",VLOOKUP(D43,'9. All Habitats + Multipliers'!$C$4:$K$102,7,FALSE))</f>
        <v/>
      </c>
      <c r="AH43" s="211" t="str">
        <f>IF(AG43="","",VLOOKUP(AG43,'11. Lists'!$J$35:$K$38,2,FALSE))</f>
        <v/>
      </c>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row>
    <row r="44" ht="14.25" customHeight="1">
      <c r="A44" s="1"/>
      <c r="B44" s="221">
        <v>5.0</v>
      </c>
      <c r="C44" s="296"/>
      <c r="D44" s="285"/>
      <c r="E44" s="286" t="str">
        <f>IF(D44="","",VLOOKUP(D44,'10. Condition and Temporal'!$B$6:$D$103,3,FALSE))</f>
        <v/>
      </c>
      <c r="F44" s="297"/>
      <c r="G44" s="43"/>
      <c r="H44" s="298"/>
      <c r="I44" s="289"/>
      <c r="J44" s="31"/>
      <c r="K44" s="32"/>
      <c r="L44" s="290" t="str">
        <f t="shared" si="9"/>
        <v/>
      </c>
      <c r="M44" s="291"/>
      <c r="N44" s="292"/>
      <c r="O44" s="299"/>
      <c r="P44" s="300"/>
      <c r="Q44" s="1"/>
      <c r="R44" s="161"/>
      <c r="S44" s="1"/>
      <c r="T44" s="210" t="str">
        <f>IF(C44="","",VLOOKUP(D44,'9. All Habitats + Multipliers'!$C$4:$K$102,5,FALSE))</f>
        <v/>
      </c>
      <c r="U44" s="47"/>
      <c r="V44" s="211" t="str">
        <f>IF(T44="","",VLOOKUP(T44,'11. Lists'!$B$47:$D$49,2,FALSE))</f>
        <v/>
      </c>
      <c r="W44" s="212" t="str">
        <f t="shared" si="10"/>
        <v/>
      </c>
      <c r="X44" s="211" t="str">
        <f>IF(W44="","",VLOOKUP(W44,'11. Lists'!$F$47:$G$51,2,FALSE))</f>
        <v/>
      </c>
      <c r="Y44" s="213"/>
      <c r="Z44" s="213"/>
      <c r="AA44" s="213"/>
      <c r="AB44" s="214" t="str">
        <f t="shared" si="11"/>
        <v/>
      </c>
      <c r="AC44" s="215" t="str">
        <f>IF(AB44="","",VLOOKUP(AB44,'11. Lists'!$F$36:$H$38,2,FALSE))</f>
        <v/>
      </c>
      <c r="AD44" s="211" t="str">
        <f>IF(AB44="","",VLOOKUP(AB44,'11. Lists'!$F$36:$H$38,3,FALSE))</f>
        <v/>
      </c>
      <c r="AE44" s="214"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295" t="str">
        <f>IF(AE44="","",VLOOKUP(AE44,'11. Lists'!$I$47:$K$80,3,FALSE))</f>
        <v/>
      </c>
      <c r="AG44" s="214" t="str">
        <f>IF(D44="","",VLOOKUP(D44,'9. All Habitats + Multipliers'!$C$4:$K$102,7,FALSE))</f>
        <v/>
      </c>
      <c r="AH44" s="211" t="str">
        <f>IF(AG44="","",VLOOKUP(AG44,'11. Lists'!$J$35:$K$38,2,FALSE))</f>
        <v/>
      </c>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row>
    <row r="45" ht="14.25" customHeight="1">
      <c r="A45" s="1"/>
      <c r="B45" s="221">
        <v>6.0</v>
      </c>
      <c r="C45" s="296"/>
      <c r="D45" s="285"/>
      <c r="E45" s="286" t="str">
        <f>IF(D45="","",VLOOKUP(D45,'10. Condition and Temporal'!$B$6:$D$103,3,FALSE))</f>
        <v/>
      </c>
      <c r="F45" s="297"/>
      <c r="G45" s="43"/>
      <c r="H45" s="298"/>
      <c r="I45" s="289"/>
      <c r="J45" s="31"/>
      <c r="K45" s="32"/>
      <c r="L45" s="290" t="str">
        <f t="shared" si="9"/>
        <v/>
      </c>
      <c r="M45" s="291"/>
      <c r="N45" s="292"/>
      <c r="O45" s="299"/>
      <c r="P45" s="300"/>
      <c r="Q45" s="1"/>
      <c r="R45" s="161"/>
      <c r="S45" s="1"/>
      <c r="T45" s="210" t="str">
        <f>IF(C45="","",VLOOKUP(D45,'9. All Habitats + Multipliers'!$C$4:$K$102,5,FALSE))</f>
        <v/>
      </c>
      <c r="U45" s="47"/>
      <c r="V45" s="211" t="str">
        <f>IF(T45="","",VLOOKUP(T45,'11. Lists'!$B$47:$D$49,2,FALSE))</f>
        <v/>
      </c>
      <c r="W45" s="212" t="str">
        <f t="shared" si="10"/>
        <v/>
      </c>
      <c r="X45" s="211" t="str">
        <f>IF(W45="","",VLOOKUP(W45,'11. Lists'!$F$47:$G$51,2,FALSE))</f>
        <v/>
      </c>
      <c r="Y45" s="213"/>
      <c r="Z45" s="213"/>
      <c r="AA45" s="213"/>
      <c r="AB45" s="214" t="str">
        <f t="shared" si="11"/>
        <v/>
      </c>
      <c r="AC45" s="215" t="str">
        <f>IF(AB45="","",VLOOKUP(AB45,'11. Lists'!$F$36:$H$38,2,FALSE))</f>
        <v/>
      </c>
      <c r="AD45" s="211" t="str">
        <f>IF(AB45="","",VLOOKUP(AB45,'11. Lists'!$F$36:$H$38,3,FALSE))</f>
        <v/>
      </c>
      <c r="AE45" s="214"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295" t="str">
        <f>IF(AE45="","",VLOOKUP(AE45,'11. Lists'!$I$47:$K$80,3,FALSE))</f>
        <v/>
      </c>
      <c r="AG45" s="214" t="str">
        <f>IF(D45="","",VLOOKUP(D45,'9. All Habitats + Multipliers'!$C$4:$K$102,7,FALSE))</f>
        <v/>
      </c>
      <c r="AH45" s="211" t="str">
        <f>IF(AG45="","",VLOOKUP(AG45,'11. Lists'!$J$35:$K$38,2,FALSE))</f>
        <v/>
      </c>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row>
    <row r="46" ht="14.25" customHeight="1">
      <c r="A46" s="1"/>
      <c r="B46" s="221">
        <v>7.0</v>
      </c>
      <c r="C46" s="296"/>
      <c r="D46" s="285"/>
      <c r="E46" s="286" t="str">
        <f>IF(D46="","",VLOOKUP(D46,'10. Condition and Temporal'!$B$6:$D$103,3,FALSE))</f>
        <v/>
      </c>
      <c r="F46" s="297"/>
      <c r="G46" s="43"/>
      <c r="H46" s="298"/>
      <c r="I46" s="289"/>
      <c r="J46" s="31"/>
      <c r="K46" s="32"/>
      <c r="L46" s="290" t="str">
        <f t="shared" si="9"/>
        <v/>
      </c>
      <c r="M46" s="291"/>
      <c r="N46" s="292"/>
      <c r="O46" s="299"/>
      <c r="P46" s="300"/>
      <c r="Q46" s="1"/>
      <c r="R46" s="161"/>
      <c r="S46" s="1"/>
      <c r="T46" s="210" t="str">
        <f>IF(C46="","",VLOOKUP(D46,'9. All Habitats + Multipliers'!$C$4:$K$102,5,FALSE))</f>
        <v/>
      </c>
      <c r="U46" s="47"/>
      <c r="V46" s="211" t="str">
        <f>IF(T46="","",VLOOKUP(T46,'11. Lists'!$B$47:$D$49,2,FALSE))</f>
        <v/>
      </c>
      <c r="W46" s="212" t="str">
        <f t="shared" si="10"/>
        <v/>
      </c>
      <c r="X46" s="211" t="str">
        <f>IF(W46="","",VLOOKUP(W46,'11. Lists'!$F$47:$G$51,2,FALSE))</f>
        <v/>
      </c>
      <c r="Y46" s="213"/>
      <c r="Z46" s="213"/>
      <c r="AA46" s="213"/>
      <c r="AB46" s="214" t="str">
        <f t="shared" si="11"/>
        <v/>
      </c>
      <c r="AC46" s="215" t="str">
        <f>IF(AB46="","",VLOOKUP(AB46,'11. Lists'!$F$36:$H$38,2,FALSE))</f>
        <v/>
      </c>
      <c r="AD46" s="211" t="str">
        <f>IF(AB46="","",VLOOKUP(AB46,'11. Lists'!$F$36:$H$38,3,FALSE))</f>
        <v/>
      </c>
      <c r="AE46" s="214"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295" t="str">
        <f>IF(AE46="","",VLOOKUP(AE46,'11. Lists'!$I$47:$K$80,3,FALSE))</f>
        <v/>
      </c>
      <c r="AG46" s="214" t="str">
        <f>IF(D46="","",VLOOKUP(D46,'9. All Habitats + Multipliers'!$C$4:$K$102,7,FALSE))</f>
        <v/>
      </c>
      <c r="AH46" s="211" t="str">
        <f>IF(AG46="","",VLOOKUP(AG46,'11. Lists'!$J$35:$K$38,2,FALSE))</f>
        <v/>
      </c>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row>
    <row r="47" ht="14.25" customHeight="1">
      <c r="A47" s="1"/>
      <c r="B47" s="221">
        <v>8.0</v>
      </c>
      <c r="C47" s="296"/>
      <c r="D47" s="285"/>
      <c r="E47" s="286" t="str">
        <f>IF(D47="","",VLOOKUP(D47,'10. Condition and Temporal'!$B$6:$D$103,3,FALSE))</f>
        <v/>
      </c>
      <c r="F47" s="297"/>
      <c r="G47" s="43"/>
      <c r="H47" s="298"/>
      <c r="I47" s="289"/>
      <c r="J47" s="31"/>
      <c r="K47" s="32"/>
      <c r="L47" s="290" t="str">
        <f t="shared" si="9"/>
        <v/>
      </c>
      <c r="M47" s="291"/>
      <c r="N47" s="292"/>
      <c r="O47" s="299"/>
      <c r="P47" s="300"/>
      <c r="Q47" s="1"/>
      <c r="R47" s="161"/>
      <c r="S47" s="1"/>
      <c r="T47" s="210" t="str">
        <f>IF(C47="","",VLOOKUP(D47,'9. All Habitats + Multipliers'!$C$4:$K$102,5,FALSE))</f>
        <v/>
      </c>
      <c r="U47" s="47"/>
      <c r="V47" s="211" t="str">
        <f>IF(T47="","",VLOOKUP(T47,'11. Lists'!$B$47:$D$49,2,FALSE))</f>
        <v/>
      </c>
      <c r="W47" s="212" t="str">
        <f t="shared" si="10"/>
        <v/>
      </c>
      <c r="X47" s="211" t="str">
        <f>IF(W47="","",VLOOKUP(W47,'11. Lists'!$F$47:$G$51,2,FALSE))</f>
        <v/>
      </c>
      <c r="Y47" s="213"/>
      <c r="Z47" s="213"/>
      <c r="AA47" s="213"/>
      <c r="AB47" s="214" t="str">
        <f t="shared" si="11"/>
        <v/>
      </c>
      <c r="AC47" s="215" t="str">
        <f>IF(AB47="","",VLOOKUP(AB47,'11. Lists'!$F$36:$H$38,2,FALSE))</f>
        <v/>
      </c>
      <c r="AD47" s="211" t="str">
        <f>IF(AB47="","",VLOOKUP(AB47,'11. Lists'!$F$36:$H$38,3,FALSE))</f>
        <v/>
      </c>
      <c r="AE47" s="214"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295" t="str">
        <f>IF(AE47="","",VLOOKUP(AE47,'11. Lists'!$I$47:$K$80,3,FALSE))</f>
        <v/>
      </c>
      <c r="AG47" s="214" t="str">
        <f>IF(D47="","",VLOOKUP(D47,'9. All Habitats + Multipliers'!$C$4:$K$102,7,FALSE))</f>
        <v/>
      </c>
      <c r="AH47" s="211" t="str">
        <f>IF(AG47="","",VLOOKUP(AG47,'11. Lists'!$J$35:$K$38,2,FALSE))</f>
        <v/>
      </c>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row>
    <row r="48" ht="14.25" customHeight="1">
      <c r="A48" s="1"/>
      <c r="B48" s="221">
        <v>9.0</v>
      </c>
      <c r="C48" s="296"/>
      <c r="D48" s="285"/>
      <c r="E48" s="286" t="str">
        <f>IF(D48="","",VLOOKUP(D48,'10. Condition and Temporal'!$B$6:$D$103,3,FALSE))</f>
        <v/>
      </c>
      <c r="F48" s="297"/>
      <c r="G48" s="43"/>
      <c r="H48" s="298"/>
      <c r="I48" s="289"/>
      <c r="J48" s="31"/>
      <c r="K48" s="32"/>
      <c r="L48" s="290" t="str">
        <f t="shared" si="9"/>
        <v/>
      </c>
      <c r="M48" s="291"/>
      <c r="N48" s="292"/>
      <c r="O48" s="299"/>
      <c r="P48" s="300"/>
      <c r="Q48" s="1"/>
      <c r="R48" s="161"/>
      <c r="S48" s="1"/>
      <c r="T48" s="210" t="str">
        <f>IF(C48="","",VLOOKUP(D48,'9. All Habitats + Multipliers'!$C$4:$K$102,5,FALSE))</f>
        <v/>
      </c>
      <c r="U48" s="47"/>
      <c r="V48" s="211" t="str">
        <f>IF(T48="","",VLOOKUP(T48,'11. Lists'!$B$47:$D$49,2,FALSE))</f>
        <v/>
      </c>
      <c r="W48" s="212" t="str">
        <f t="shared" si="10"/>
        <v/>
      </c>
      <c r="X48" s="211" t="str">
        <f>IF(W48="","",VLOOKUP(W48,'11. Lists'!$F$47:$G$51,2,FALSE))</f>
        <v/>
      </c>
      <c r="Y48" s="213"/>
      <c r="Z48" s="213"/>
      <c r="AA48" s="213"/>
      <c r="AB48" s="214" t="str">
        <f t="shared" si="11"/>
        <v/>
      </c>
      <c r="AC48" s="215" t="str">
        <f>IF(AB48="","",VLOOKUP(AB48,'11. Lists'!$F$36:$H$38,2,FALSE))</f>
        <v/>
      </c>
      <c r="AD48" s="211" t="str">
        <f>IF(AB48="","",VLOOKUP(AB48,'11. Lists'!$F$36:$H$38,3,FALSE))</f>
        <v/>
      </c>
      <c r="AE48" s="214"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295" t="str">
        <f>IF(AE48="","",VLOOKUP(AE48,'11. Lists'!$I$47:$K$80,3,FALSE))</f>
        <v/>
      </c>
      <c r="AG48" s="214" t="str">
        <f>IF(D48="","",VLOOKUP(D48,'9. All Habitats + Multipliers'!$C$4:$K$102,7,FALSE))</f>
        <v/>
      </c>
      <c r="AH48" s="211" t="str">
        <f>IF(AG48="","",VLOOKUP(AG48,'11. Lists'!$J$35:$K$38,2,FALSE))</f>
        <v/>
      </c>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row>
    <row r="49" ht="14.25" customHeight="1">
      <c r="A49" s="1"/>
      <c r="B49" s="221">
        <v>10.0</v>
      </c>
      <c r="C49" s="301"/>
      <c r="D49" s="285"/>
      <c r="E49" s="286" t="str">
        <f>IF(D49="","",VLOOKUP(D49,'10. Condition and Temporal'!$B$6:$D$103,3,FALSE))</f>
        <v/>
      </c>
      <c r="F49" s="297"/>
      <c r="G49" s="43"/>
      <c r="H49" s="298"/>
      <c r="I49" s="289"/>
      <c r="J49" s="31"/>
      <c r="K49" s="32"/>
      <c r="L49" s="290" t="str">
        <f t="shared" si="9"/>
        <v/>
      </c>
      <c r="M49" s="291"/>
      <c r="N49" s="292"/>
      <c r="O49" s="299"/>
      <c r="P49" s="300"/>
      <c r="Q49" s="1"/>
      <c r="R49" s="161"/>
      <c r="S49" s="1"/>
      <c r="T49" s="210" t="str">
        <f>IF(C49="","",VLOOKUP(D49,'9. All Habitats + Multipliers'!$C$4:$K$102,5,FALSE))</f>
        <v/>
      </c>
      <c r="U49" s="47"/>
      <c r="V49" s="211" t="str">
        <f>IF(T49="","",VLOOKUP(T49,'11. Lists'!$B$47:$D$49,2,FALSE))</f>
        <v/>
      </c>
      <c r="W49" s="212" t="str">
        <f t="shared" si="10"/>
        <v/>
      </c>
      <c r="X49" s="211" t="str">
        <f>IF(W49="","",VLOOKUP(W49,'11. Lists'!$F$47:$G$51,2,FALSE))</f>
        <v/>
      </c>
      <c r="Y49" s="213"/>
      <c r="Z49" s="213"/>
      <c r="AA49" s="213"/>
      <c r="AB49" s="214" t="str">
        <f t="shared" si="11"/>
        <v/>
      </c>
      <c r="AC49" s="215" t="str">
        <f>IF(AB49="","",VLOOKUP(AB49,'11. Lists'!$F$36:$H$38,2,FALSE))</f>
        <v/>
      </c>
      <c r="AD49" s="211" t="str">
        <f>IF(AB49="","",VLOOKUP(AB49,'11. Lists'!$F$36:$H$38,3,FALSE))</f>
        <v/>
      </c>
      <c r="AE49" s="214"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295" t="str">
        <f>IF(AE49="","",VLOOKUP(AE49,'11. Lists'!$I$47:$K$80,3,FALSE))</f>
        <v/>
      </c>
      <c r="AG49" s="214" t="str">
        <f>IF(D49="","",VLOOKUP(D49,'9. All Habitats + Multipliers'!$C$4:$K$102,7,FALSE))</f>
        <v/>
      </c>
      <c r="AH49" s="211" t="str">
        <f>IF(AG49="","",VLOOKUP(AG49,'11. Lists'!$J$35:$K$38,2,FALSE))</f>
        <v/>
      </c>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row>
    <row r="50" ht="14.25" customHeight="1">
      <c r="A50" s="1"/>
      <c r="B50" s="221">
        <v>11.0</v>
      </c>
      <c r="C50" s="301"/>
      <c r="D50" s="285"/>
      <c r="E50" s="286" t="str">
        <f>IF(D50="","",VLOOKUP(D50,'10. Condition and Temporal'!$B$6:$D$103,3,FALSE))</f>
        <v/>
      </c>
      <c r="F50" s="297"/>
      <c r="G50" s="43"/>
      <c r="H50" s="298"/>
      <c r="I50" s="289"/>
      <c r="J50" s="31"/>
      <c r="K50" s="32"/>
      <c r="L50" s="290" t="str">
        <f t="shared" si="9"/>
        <v/>
      </c>
      <c r="M50" s="291"/>
      <c r="N50" s="292"/>
      <c r="O50" s="299"/>
      <c r="P50" s="300"/>
      <c r="Q50" s="1"/>
      <c r="R50" s="161"/>
      <c r="S50" s="1"/>
      <c r="T50" s="210" t="str">
        <f>IF(C50="","",VLOOKUP(D50,'9. All Habitats + Multipliers'!$C$4:$K$102,5,FALSE))</f>
        <v/>
      </c>
      <c r="U50" s="47"/>
      <c r="V50" s="211" t="str">
        <f>IF(T50="","",VLOOKUP(T50,'11. Lists'!$B$47:$D$49,2,FALSE))</f>
        <v/>
      </c>
      <c r="W50" s="212" t="str">
        <f t="shared" si="10"/>
        <v/>
      </c>
      <c r="X50" s="211" t="str">
        <f>IF(W50="","",VLOOKUP(W50,'11. Lists'!$F$47:$G$51,2,FALSE))</f>
        <v/>
      </c>
      <c r="Y50" s="213"/>
      <c r="Z50" s="213"/>
      <c r="AA50" s="213"/>
      <c r="AB50" s="214" t="str">
        <f t="shared" si="11"/>
        <v/>
      </c>
      <c r="AC50" s="215" t="str">
        <f>IF(AB50="","",VLOOKUP(AB50,'11. Lists'!$F$36:$H$38,2,FALSE))</f>
        <v/>
      </c>
      <c r="AD50" s="211" t="str">
        <f>IF(AB50="","",VLOOKUP(AB50,'11. Lists'!$F$36:$H$38,3,FALSE))</f>
        <v/>
      </c>
      <c r="AE50" s="214"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295" t="str">
        <f>IF(AE50="","",VLOOKUP(AE50,'11. Lists'!$I$47:$K$80,3,FALSE))</f>
        <v/>
      </c>
      <c r="AG50" s="214" t="str">
        <f>IF(D50="","",VLOOKUP(D50,'9. All Habitats + Multipliers'!$C$4:$K$102,7,FALSE))</f>
        <v/>
      </c>
      <c r="AH50" s="211" t="str">
        <f>IF(AG50="","",VLOOKUP(AG50,'11. Lists'!$J$35:$K$38,2,FALSE))</f>
        <v/>
      </c>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row>
    <row r="51" ht="14.25" customHeight="1">
      <c r="A51" s="1"/>
      <c r="B51" s="221">
        <v>12.0</v>
      </c>
      <c r="C51" s="301"/>
      <c r="D51" s="285"/>
      <c r="E51" s="286" t="str">
        <f>IF(D51="","",VLOOKUP(D51,'10. Condition and Temporal'!$B$6:$D$103,3,FALSE))</f>
        <v/>
      </c>
      <c r="F51" s="297"/>
      <c r="G51" s="43"/>
      <c r="H51" s="298"/>
      <c r="I51" s="289"/>
      <c r="J51" s="31"/>
      <c r="K51" s="32"/>
      <c r="L51" s="290" t="str">
        <f t="shared" si="9"/>
        <v/>
      </c>
      <c r="M51" s="291"/>
      <c r="N51" s="292"/>
      <c r="O51" s="299"/>
      <c r="P51" s="300"/>
      <c r="Q51" s="1"/>
      <c r="R51" s="161"/>
      <c r="S51" s="1"/>
      <c r="T51" s="210" t="str">
        <f>IF(C51="","",VLOOKUP(D51,'9. All Habitats + Multipliers'!$C$4:$K$102,5,FALSE))</f>
        <v/>
      </c>
      <c r="U51" s="47"/>
      <c r="V51" s="211" t="str">
        <f>IF(T51="","",VLOOKUP(T51,'11. Lists'!$B$47:$D$49,2,FALSE))</f>
        <v/>
      </c>
      <c r="W51" s="212" t="str">
        <f t="shared" si="10"/>
        <v/>
      </c>
      <c r="X51" s="211" t="str">
        <f>IF(W51="","",VLOOKUP(W51,'11. Lists'!$F$47:$G$51,2,FALSE))</f>
        <v/>
      </c>
      <c r="Y51" s="213"/>
      <c r="Z51" s="213"/>
      <c r="AA51" s="213"/>
      <c r="AB51" s="214" t="str">
        <f t="shared" si="11"/>
        <v/>
      </c>
      <c r="AC51" s="215" t="str">
        <f>IF(AB51="","",VLOOKUP(AB51,'11. Lists'!$F$36:$H$38,2,FALSE))</f>
        <v/>
      </c>
      <c r="AD51" s="211" t="str">
        <f>IF(AB51="","",VLOOKUP(AB51,'11. Lists'!$F$36:$H$38,3,FALSE))</f>
        <v/>
      </c>
      <c r="AE51" s="214"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295" t="str">
        <f>IF(AE51="","",VLOOKUP(AE51,'11. Lists'!$I$47:$K$80,3,FALSE))</f>
        <v/>
      </c>
      <c r="AG51" s="214" t="str">
        <f>IF(D51="","",VLOOKUP(D51,'9. All Habitats + Multipliers'!$C$4:$K$102,7,FALSE))</f>
        <v/>
      </c>
      <c r="AH51" s="211" t="str">
        <f>IF(AG51="","",VLOOKUP(AG51,'11. Lists'!$J$35:$K$38,2,FALSE))</f>
        <v/>
      </c>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row>
    <row r="52" ht="14.25" customHeight="1">
      <c r="A52" s="1"/>
      <c r="B52" s="221">
        <v>13.0</v>
      </c>
      <c r="C52" s="301"/>
      <c r="D52" s="285"/>
      <c r="E52" s="286" t="str">
        <f>IF(D52="","",VLOOKUP(D52,'10. Condition and Temporal'!$B$6:$D$103,3,FALSE))</f>
        <v/>
      </c>
      <c r="F52" s="297"/>
      <c r="G52" s="43"/>
      <c r="H52" s="298"/>
      <c r="I52" s="289"/>
      <c r="J52" s="31"/>
      <c r="K52" s="32"/>
      <c r="L52" s="290" t="str">
        <f t="shared" si="9"/>
        <v/>
      </c>
      <c r="M52" s="291"/>
      <c r="N52" s="292"/>
      <c r="O52" s="299"/>
      <c r="P52" s="300"/>
      <c r="Q52" s="1"/>
      <c r="R52" s="161"/>
      <c r="S52" s="1"/>
      <c r="T52" s="210" t="str">
        <f>IF(C52="","",VLOOKUP(D52,'9. All Habitats + Multipliers'!$C$4:$K$102,5,FALSE))</f>
        <v/>
      </c>
      <c r="U52" s="47"/>
      <c r="V52" s="211" t="str">
        <f>IF(T52="","",VLOOKUP(T52,'11. Lists'!$B$47:$D$49,2,FALSE))</f>
        <v/>
      </c>
      <c r="W52" s="212" t="str">
        <f t="shared" si="10"/>
        <v/>
      </c>
      <c r="X52" s="211" t="str">
        <f>IF(W52="","",VLOOKUP(W52,'11. Lists'!$F$47:$G$51,2,FALSE))</f>
        <v/>
      </c>
      <c r="Y52" s="213"/>
      <c r="Z52" s="213"/>
      <c r="AA52" s="213"/>
      <c r="AB52" s="214" t="str">
        <f t="shared" si="11"/>
        <v/>
      </c>
      <c r="AC52" s="215" t="str">
        <f>IF(AB52="","",VLOOKUP(AB52,'11. Lists'!$F$36:$H$38,2,FALSE))</f>
        <v/>
      </c>
      <c r="AD52" s="211" t="str">
        <f>IF(AB52="","",VLOOKUP(AB52,'11. Lists'!$F$36:$H$38,3,FALSE))</f>
        <v/>
      </c>
      <c r="AE52" s="214"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295" t="str">
        <f>IF(AE52="","",VLOOKUP(AE52,'11. Lists'!$I$47:$K$80,3,FALSE))</f>
        <v/>
      </c>
      <c r="AG52" s="214" t="str">
        <f>IF(D52="","",VLOOKUP(D52,'9. All Habitats + Multipliers'!$C$4:$K$102,7,FALSE))</f>
        <v/>
      </c>
      <c r="AH52" s="211" t="str">
        <f>IF(AG52="","",VLOOKUP(AG52,'11. Lists'!$J$35:$K$38,2,FALSE))</f>
        <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ht="14.25" customHeight="1">
      <c r="A53" s="1"/>
      <c r="B53" s="221">
        <v>14.0</v>
      </c>
      <c r="C53" s="301"/>
      <c r="D53" s="285"/>
      <c r="E53" s="286" t="str">
        <f>IF(D53="","",VLOOKUP(D53,'10. Condition and Temporal'!$B$6:$D$103,3,FALSE))</f>
        <v/>
      </c>
      <c r="F53" s="297"/>
      <c r="G53" s="43"/>
      <c r="H53" s="298"/>
      <c r="I53" s="289"/>
      <c r="J53" s="31"/>
      <c r="K53" s="32"/>
      <c r="L53" s="290" t="str">
        <f t="shared" si="9"/>
        <v/>
      </c>
      <c r="M53" s="291"/>
      <c r="N53" s="292"/>
      <c r="O53" s="299"/>
      <c r="P53" s="300"/>
      <c r="Q53" s="1"/>
      <c r="R53" s="161"/>
      <c r="S53" s="1"/>
      <c r="T53" s="210" t="str">
        <f>IF(C53="","",VLOOKUP(D53,'9. All Habitats + Multipliers'!$C$4:$K$102,5,FALSE))</f>
        <v/>
      </c>
      <c r="U53" s="47"/>
      <c r="V53" s="211" t="str">
        <f>IF(T53="","",VLOOKUP(T53,'11. Lists'!$B$47:$D$49,2,FALSE))</f>
        <v/>
      </c>
      <c r="W53" s="212" t="str">
        <f t="shared" si="10"/>
        <v/>
      </c>
      <c r="X53" s="211" t="str">
        <f>IF(W53="","",VLOOKUP(W53,'11. Lists'!$F$47:$G$51,2,FALSE))</f>
        <v/>
      </c>
      <c r="Y53" s="213"/>
      <c r="Z53" s="213"/>
      <c r="AA53" s="213"/>
      <c r="AB53" s="214" t="str">
        <f t="shared" si="11"/>
        <v/>
      </c>
      <c r="AC53" s="215" t="str">
        <f>IF(AB53="","",VLOOKUP(AB53,'11. Lists'!$F$36:$H$38,2,FALSE))</f>
        <v/>
      </c>
      <c r="AD53" s="211" t="str">
        <f>IF(AB53="","",VLOOKUP(AB53,'11. Lists'!$F$36:$H$38,3,FALSE))</f>
        <v/>
      </c>
      <c r="AE53" s="214"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295" t="str">
        <f>IF(AE53="","",VLOOKUP(AE53,'11. Lists'!$I$47:$K$80,3,FALSE))</f>
        <v/>
      </c>
      <c r="AG53" s="214" t="str">
        <f>IF(D53="","",VLOOKUP(D53,'9. All Habitats + Multipliers'!$C$4:$K$102,7,FALSE))</f>
        <v/>
      </c>
      <c r="AH53" s="211" t="str">
        <f>IF(AG53="","",VLOOKUP(AG53,'11. Lists'!$J$35:$K$38,2,FALSE))</f>
        <v/>
      </c>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54" ht="14.25" customHeight="1">
      <c r="A54" s="1"/>
      <c r="B54" s="221">
        <v>15.0</v>
      </c>
      <c r="C54" s="301"/>
      <c r="D54" s="285"/>
      <c r="E54" s="286" t="str">
        <f>IF(D54="","",VLOOKUP(D54,'10. Condition and Temporal'!$B$6:$D$103,3,FALSE))</f>
        <v/>
      </c>
      <c r="F54" s="297"/>
      <c r="G54" s="43"/>
      <c r="H54" s="298"/>
      <c r="I54" s="289"/>
      <c r="J54" s="31"/>
      <c r="K54" s="32"/>
      <c r="L54" s="290" t="str">
        <f t="shared" si="9"/>
        <v/>
      </c>
      <c r="M54" s="291"/>
      <c r="N54" s="292"/>
      <c r="O54" s="299"/>
      <c r="P54" s="300"/>
      <c r="Q54" s="1"/>
      <c r="R54" s="161"/>
      <c r="S54" s="1"/>
      <c r="T54" s="210" t="str">
        <f>IF(C54="","",VLOOKUP(D54,'9. All Habitats + Multipliers'!$C$4:$K$102,5,FALSE))</f>
        <v/>
      </c>
      <c r="U54" s="47"/>
      <c r="V54" s="211" t="str">
        <f>IF(T54="","",VLOOKUP(T54,'11. Lists'!$B$47:$D$49,2,FALSE))</f>
        <v/>
      </c>
      <c r="W54" s="212" t="str">
        <f t="shared" si="10"/>
        <v/>
      </c>
      <c r="X54" s="211" t="str">
        <f>IF(W54="","",VLOOKUP(W54,'11. Lists'!$F$47:$G$51,2,FALSE))</f>
        <v/>
      </c>
      <c r="Y54" s="213"/>
      <c r="Z54" s="213"/>
      <c r="AA54" s="213"/>
      <c r="AB54" s="214" t="str">
        <f t="shared" si="11"/>
        <v/>
      </c>
      <c r="AC54" s="215" t="str">
        <f>IF(AB54="","",VLOOKUP(AB54,'11. Lists'!$F$36:$H$38,2,FALSE))</f>
        <v/>
      </c>
      <c r="AD54" s="211" t="str">
        <f>IF(AB54="","",VLOOKUP(AB54,'11. Lists'!$F$36:$H$38,3,FALSE))</f>
        <v/>
      </c>
      <c r="AE54" s="214"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295" t="str">
        <f>IF(AE54="","",VLOOKUP(AE54,'11. Lists'!$I$47:$K$80,3,FALSE))</f>
        <v/>
      </c>
      <c r="AG54" s="214" t="str">
        <f>IF(D54="","",VLOOKUP(D54,'9. All Habitats + Multipliers'!$C$4:$K$102,7,FALSE))</f>
        <v/>
      </c>
      <c r="AH54" s="211" t="str">
        <f>IF(AG54="","",VLOOKUP(AG54,'11. Lists'!$J$35:$K$38,2,FALSE))</f>
        <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row>
    <row r="55" ht="14.25" customHeight="1">
      <c r="A55" s="1"/>
      <c r="B55" s="221">
        <v>16.0</v>
      </c>
      <c r="C55" s="301"/>
      <c r="D55" s="285"/>
      <c r="E55" s="286" t="str">
        <f>IF(D55="","",VLOOKUP(D55,'10. Condition and Temporal'!$B$6:$D$103,3,FALSE))</f>
        <v/>
      </c>
      <c r="F55" s="297"/>
      <c r="G55" s="43"/>
      <c r="H55" s="298"/>
      <c r="I55" s="289"/>
      <c r="J55" s="31"/>
      <c r="K55" s="32"/>
      <c r="L55" s="290" t="str">
        <f t="shared" si="9"/>
        <v/>
      </c>
      <c r="M55" s="291"/>
      <c r="N55" s="292"/>
      <c r="O55" s="299"/>
      <c r="P55" s="300"/>
      <c r="Q55" s="1"/>
      <c r="R55" s="161"/>
      <c r="S55" s="1"/>
      <c r="T55" s="210" t="str">
        <f>IF(C55="","",VLOOKUP(D55,'9. All Habitats + Multipliers'!$C$4:$K$102,5,FALSE))</f>
        <v/>
      </c>
      <c r="U55" s="47"/>
      <c r="V55" s="211" t="str">
        <f>IF(T55="","",VLOOKUP(T55,'11. Lists'!$B$47:$D$49,2,FALSE))</f>
        <v/>
      </c>
      <c r="W55" s="212" t="str">
        <f t="shared" si="10"/>
        <v/>
      </c>
      <c r="X55" s="211" t="str">
        <f>IF(W55="","",VLOOKUP(W55,'11. Lists'!$F$47:$G$51,2,FALSE))</f>
        <v/>
      </c>
      <c r="Y55" s="213"/>
      <c r="Z55" s="213"/>
      <c r="AA55" s="213"/>
      <c r="AB55" s="214" t="str">
        <f t="shared" si="11"/>
        <v/>
      </c>
      <c r="AC55" s="215" t="str">
        <f>IF(AB55="","",VLOOKUP(AB55,'11. Lists'!$F$36:$H$38,2,FALSE))</f>
        <v/>
      </c>
      <c r="AD55" s="211" t="str">
        <f>IF(AB55="","",VLOOKUP(AB55,'11. Lists'!$F$36:$H$38,3,FALSE))</f>
        <v/>
      </c>
      <c r="AE55" s="214"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295" t="str">
        <f>IF(AE55="","",VLOOKUP(AE55,'11. Lists'!$I$47:$K$80,3,FALSE))</f>
        <v/>
      </c>
      <c r="AG55" s="214" t="str">
        <f>IF(D55="","",VLOOKUP(D55,'9. All Habitats + Multipliers'!$C$4:$K$102,7,FALSE))</f>
        <v/>
      </c>
      <c r="AH55" s="211" t="str">
        <f>IF(AG55="","",VLOOKUP(AG55,'11. Lists'!$J$35:$K$38,2,FALSE))</f>
        <v/>
      </c>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row>
    <row r="56" ht="14.25" customHeight="1">
      <c r="A56" s="1"/>
      <c r="B56" s="221">
        <v>17.0</v>
      </c>
      <c r="C56" s="301"/>
      <c r="D56" s="285"/>
      <c r="E56" s="286" t="str">
        <f>IF(D56="","",VLOOKUP(D56,'10. Condition and Temporal'!$B$6:$D$103,3,FALSE))</f>
        <v/>
      </c>
      <c r="F56" s="297"/>
      <c r="G56" s="43"/>
      <c r="H56" s="298"/>
      <c r="I56" s="289"/>
      <c r="J56" s="31"/>
      <c r="K56" s="32"/>
      <c r="L56" s="290" t="str">
        <f t="shared" si="9"/>
        <v/>
      </c>
      <c r="M56" s="291"/>
      <c r="N56" s="292"/>
      <c r="O56" s="299"/>
      <c r="P56" s="300"/>
      <c r="Q56" s="1"/>
      <c r="R56" s="161"/>
      <c r="S56" s="1"/>
      <c r="T56" s="210" t="str">
        <f>IF(C56="","",VLOOKUP(D56,'9. All Habitats + Multipliers'!$C$4:$K$102,5,FALSE))</f>
        <v/>
      </c>
      <c r="U56" s="47"/>
      <c r="V56" s="211" t="str">
        <f>IF(T56="","",VLOOKUP(T56,'11. Lists'!$B$47:$D$49,2,FALSE))</f>
        <v/>
      </c>
      <c r="W56" s="212" t="str">
        <f t="shared" si="10"/>
        <v/>
      </c>
      <c r="X56" s="211" t="str">
        <f>IF(W56="","",VLOOKUP(W56,'11. Lists'!$F$47:$G$51,2,FALSE))</f>
        <v/>
      </c>
      <c r="Y56" s="213"/>
      <c r="Z56" s="213"/>
      <c r="AA56" s="213"/>
      <c r="AB56" s="214" t="str">
        <f t="shared" si="11"/>
        <v/>
      </c>
      <c r="AC56" s="215" t="str">
        <f>IF(AB56="","",VLOOKUP(AB56,'11. Lists'!$F$36:$H$38,2,FALSE))</f>
        <v/>
      </c>
      <c r="AD56" s="211" t="str">
        <f>IF(AB56="","",VLOOKUP(AB56,'11. Lists'!$F$36:$H$38,3,FALSE))</f>
        <v/>
      </c>
      <c r="AE56" s="214"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295" t="str">
        <f>IF(AE56="","",VLOOKUP(AE56,'11. Lists'!$I$47:$K$80,3,FALSE))</f>
        <v/>
      </c>
      <c r="AG56" s="214" t="str">
        <f>IF(D56="","",VLOOKUP(D56,'9. All Habitats + Multipliers'!$C$4:$K$102,7,FALSE))</f>
        <v/>
      </c>
      <c r="AH56" s="211" t="str">
        <f>IF(AG56="","",VLOOKUP(AG56,'11. Lists'!$J$35:$K$38,2,FALSE))</f>
        <v/>
      </c>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row>
    <row r="57" ht="14.25" customHeight="1">
      <c r="A57" s="1"/>
      <c r="B57" s="221">
        <v>18.0</v>
      </c>
      <c r="C57" s="301"/>
      <c r="D57" s="285"/>
      <c r="E57" s="286" t="str">
        <f>IF(D57="","",VLOOKUP(D57,'10. Condition and Temporal'!$B$6:$D$103,3,FALSE))</f>
        <v/>
      </c>
      <c r="F57" s="297"/>
      <c r="G57" s="43"/>
      <c r="H57" s="298"/>
      <c r="I57" s="289"/>
      <c r="J57" s="31"/>
      <c r="K57" s="32"/>
      <c r="L57" s="290" t="str">
        <f t="shared" si="9"/>
        <v/>
      </c>
      <c r="M57" s="291"/>
      <c r="N57" s="292"/>
      <c r="O57" s="299"/>
      <c r="P57" s="300"/>
      <c r="Q57" s="1"/>
      <c r="R57" s="161"/>
      <c r="S57" s="1"/>
      <c r="T57" s="210" t="str">
        <f>IF(C57="","",VLOOKUP(D57,'9. All Habitats + Multipliers'!$C$4:$K$102,5,FALSE))</f>
        <v/>
      </c>
      <c r="U57" s="47"/>
      <c r="V57" s="211" t="str">
        <f>IF(T57="","",VLOOKUP(T57,'11. Lists'!$B$47:$D$49,2,FALSE))</f>
        <v/>
      </c>
      <c r="W57" s="212" t="str">
        <f t="shared" si="10"/>
        <v/>
      </c>
      <c r="X57" s="211" t="str">
        <f>IF(W57="","",VLOOKUP(W57,'11. Lists'!$F$47:$G$51,2,FALSE))</f>
        <v/>
      </c>
      <c r="Y57" s="213"/>
      <c r="Z57" s="213"/>
      <c r="AA57" s="213"/>
      <c r="AB57" s="214" t="str">
        <f t="shared" si="11"/>
        <v/>
      </c>
      <c r="AC57" s="215" t="str">
        <f>IF(AB57="","",VLOOKUP(AB57,'11. Lists'!$F$36:$H$38,2,FALSE))</f>
        <v/>
      </c>
      <c r="AD57" s="211" t="str">
        <f>IF(AB57="","",VLOOKUP(AB57,'11. Lists'!$F$36:$H$38,3,FALSE))</f>
        <v/>
      </c>
      <c r="AE57" s="214"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295" t="str">
        <f>IF(AE57="","",VLOOKUP(AE57,'11. Lists'!$I$47:$K$80,3,FALSE))</f>
        <v/>
      </c>
      <c r="AG57" s="214" t="str">
        <f>IF(D57="","",VLOOKUP(D57,'9. All Habitats + Multipliers'!$C$4:$K$102,7,FALSE))</f>
        <v/>
      </c>
      <c r="AH57" s="211" t="str">
        <f>IF(AG57="","",VLOOKUP(AG57,'11. Lists'!$J$35:$K$38,2,FALSE))</f>
        <v/>
      </c>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row>
    <row r="58" ht="14.25" customHeight="1">
      <c r="A58" s="1"/>
      <c r="B58" s="221">
        <v>19.0</v>
      </c>
      <c r="C58" s="301"/>
      <c r="D58" s="285"/>
      <c r="E58" s="286" t="str">
        <f>IF(D58="","",VLOOKUP(D58,'10. Condition and Temporal'!$B$6:$D$103,3,FALSE))</f>
        <v/>
      </c>
      <c r="F58" s="297"/>
      <c r="G58" s="43"/>
      <c r="H58" s="298"/>
      <c r="I58" s="289"/>
      <c r="J58" s="31"/>
      <c r="K58" s="32"/>
      <c r="L58" s="290" t="str">
        <f t="shared" si="9"/>
        <v/>
      </c>
      <c r="M58" s="291"/>
      <c r="N58" s="292"/>
      <c r="O58" s="299"/>
      <c r="P58" s="300"/>
      <c r="Q58" s="1"/>
      <c r="R58" s="161"/>
      <c r="S58" s="1"/>
      <c r="T58" s="210" t="str">
        <f>IF(C58="","",VLOOKUP(D58,'9. All Habitats + Multipliers'!$C$4:$K$102,5,FALSE))</f>
        <v/>
      </c>
      <c r="U58" s="47"/>
      <c r="V58" s="211" t="str">
        <f>IF(T58="","",VLOOKUP(T58,'11. Lists'!$B$47:$D$49,2,FALSE))</f>
        <v/>
      </c>
      <c r="W58" s="212" t="str">
        <f t="shared" si="10"/>
        <v/>
      </c>
      <c r="X58" s="211" t="str">
        <f>IF(W58="","",VLOOKUP(W58,'11. Lists'!$F$47:$G$51,2,FALSE))</f>
        <v/>
      </c>
      <c r="Y58" s="213"/>
      <c r="Z58" s="213"/>
      <c r="AA58" s="213"/>
      <c r="AB58" s="214" t="str">
        <f t="shared" si="11"/>
        <v/>
      </c>
      <c r="AC58" s="215" t="str">
        <f>IF(AB58="","",VLOOKUP(AB58,'11. Lists'!$F$36:$H$38,2,FALSE))</f>
        <v/>
      </c>
      <c r="AD58" s="211" t="str">
        <f>IF(AB58="","",VLOOKUP(AB58,'11. Lists'!$F$36:$H$38,3,FALSE))</f>
        <v/>
      </c>
      <c r="AE58" s="21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295" t="str">
        <f>IF(AE58="","",VLOOKUP(AE58,'11. Lists'!$I$47:$K$80,3,FALSE))</f>
        <v/>
      </c>
      <c r="AG58" s="214" t="str">
        <f>IF(D58="","",VLOOKUP(D58,'9. All Habitats + Multipliers'!$C$4:$K$102,7,FALSE))</f>
        <v/>
      </c>
      <c r="AH58" s="211" t="str">
        <f>IF(AG58="","",VLOOKUP(AG58,'11. Lists'!$J$35:$K$38,2,FALSE))</f>
        <v/>
      </c>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row>
    <row r="59" ht="14.25" customHeight="1">
      <c r="A59" s="1"/>
      <c r="B59" s="302">
        <v>20.0</v>
      </c>
      <c r="C59" s="301"/>
      <c r="D59" s="285"/>
      <c r="E59" s="286" t="str">
        <f>IF(D59="","",VLOOKUP(D59,'10. Condition and Temporal'!$B$6:$D$103,3,FALSE))</f>
        <v/>
      </c>
      <c r="F59" s="297"/>
      <c r="G59" s="43"/>
      <c r="H59" s="303"/>
      <c r="I59" s="289"/>
      <c r="J59" s="31"/>
      <c r="K59" s="32"/>
      <c r="L59" s="290" t="str">
        <f t="shared" si="9"/>
        <v/>
      </c>
      <c r="M59" s="291"/>
      <c r="N59" s="292"/>
      <c r="O59" s="304"/>
      <c r="P59" s="305"/>
      <c r="Q59" s="1"/>
      <c r="R59" s="161"/>
      <c r="S59" s="1"/>
      <c r="T59" s="210" t="str">
        <f>IF(C59="","",VLOOKUP(D59,'9. All Habitats + Multipliers'!$C$4:$K$102,5,FALSE))</f>
        <v/>
      </c>
      <c r="U59" s="47"/>
      <c r="V59" s="211" t="str">
        <f>IF(T59="","",VLOOKUP(T59,'11. Lists'!$B$47:$D$49,2,FALSE))</f>
        <v/>
      </c>
      <c r="W59" s="212" t="str">
        <f t="shared" si="10"/>
        <v/>
      </c>
      <c r="X59" s="211" t="str">
        <f>IF(W59="","",VLOOKUP(W59,'11. Lists'!$F$47:$G$51,2,FALSE))</f>
        <v/>
      </c>
      <c r="Y59" s="213"/>
      <c r="Z59" s="213"/>
      <c r="AA59" s="213"/>
      <c r="AB59" s="214" t="str">
        <f t="shared" si="11"/>
        <v/>
      </c>
      <c r="AC59" s="215" t="str">
        <f>IF(AB59="","",VLOOKUP(AB59,'11. Lists'!$F$36:$H$38,2,FALSE))</f>
        <v/>
      </c>
      <c r="AD59" s="211" t="str">
        <f>IF(AB59="","",VLOOKUP(AB59,'11. Lists'!$F$36:$H$38,3,FALSE))</f>
        <v/>
      </c>
      <c r="AE59" s="214"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295" t="str">
        <f>IF(AE59="","",VLOOKUP(AE59,'11. Lists'!$I$47:$K$80,3,FALSE))</f>
        <v/>
      </c>
      <c r="AG59" s="214" t="str">
        <f>IF(D59="","",VLOOKUP(D59,'9. All Habitats + Multipliers'!$C$4:$K$102,7,FALSE))</f>
        <v/>
      </c>
      <c r="AH59" s="211" t="str">
        <f>IF(AG59="","",VLOOKUP(AG59,'11. Lists'!$J$35:$K$38,2,FALSE))</f>
        <v/>
      </c>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row>
    <row r="60" ht="14.25" customHeight="1">
      <c r="A60" s="1"/>
      <c r="B60" s="306" t="s">
        <v>120</v>
      </c>
      <c r="C60" s="237" t="s">
        <v>121</v>
      </c>
      <c r="D60" s="307" t="s">
        <v>122</v>
      </c>
      <c r="E60" s="308" t="s">
        <v>144</v>
      </c>
      <c r="F60" s="309" t="s">
        <v>144</v>
      </c>
      <c r="G60" s="239"/>
      <c r="H60" s="310" t="s">
        <v>116</v>
      </c>
      <c r="I60" s="311">
        <f>O99</f>
        <v>0</v>
      </c>
      <c r="J60" s="241"/>
      <c r="K60" s="239"/>
      <c r="L60" s="312">
        <f>IF(D60="","",((I60/10000)*(V60*X60))*(AH60*AF60)*AD60)</f>
        <v>0</v>
      </c>
      <c r="M60" s="241"/>
      <c r="N60" s="313"/>
      <c r="O60" s="314"/>
      <c r="P60" s="315"/>
      <c r="Q60" s="1"/>
      <c r="R60" s="161"/>
      <c r="S60" s="1"/>
      <c r="T60" s="250" t="str">
        <f>IF(C60="","",VLOOKUP(D60,'9. All Habitats + Multipliers'!$C$4:$K$102,5,FALSE))</f>
        <v>Medium</v>
      </c>
      <c r="U60" s="51"/>
      <c r="V60" s="251">
        <f>IF(T60="","",VLOOKUP(T60,'11. Lists'!$B$47:$D$49,2,FALSE))</f>
        <v>4</v>
      </c>
      <c r="W60" s="252" t="str">
        <f t="shared" si="10"/>
        <v>Moderate</v>
      </c>
      <c r="X60" s="251">
        <f>IF(W60="","",VLOOKUP(W60,'11. Lists'!$F$47:$G$51,2,FALSE))</f>
        <v>2</v>
      </c>
      <c r="Y60" s="213"/>
      <c r="Z60" s="213"/>
      <c r="AA60" s="213"/>
      <c r="AB60" s="253" t="str">
        <f t="shared" si="11"/>
        <v>Area/compensation not in local strategy/ no local strategy</v>
      </c>
      <c r="AC60" s="254" t="str">
        <f>IF(AB60="","",VLOOKUP(AB60,'11. Lists'!$F$36:$H$38,2,FALSE))</f>
        <v>Low Strategic Significance</v>
      </c>
      <c r="AD60" s="251">
        <f>IF(AB60="","",VLOOKUP(AB60,'11. Lists'!$F$36:$H$38,3,FALSE))</f>
        <v>1</v>
      </c>
      <c r="AE60" s="253">
        <f>IF(F60="","",IF(F60="Moderate",VLOOKUP(D60,'10. Condition and Temporal'!$B$6:$L$103,6,FALSE),IF('5. Area Habitats'!F60="Good",VLOOKUP(D60,'10. Condition and Temporal'!$B$6:$L$103,7,FALSE),VLOOKUP(D60,'10. Condition and Temporal'!$B$6:$L$103,8,FALSE))))</f>
        <v>27</v>
      </c>
      <c r="AF60" s="316">
        <f>IF(AE60="","",VLOOKUP(AE60,'11. Lists'!$I$47:$K$80,3,FALSE))</f>
        <v>0.3821531646</v>
      </c>
      <c r="AG60" s="253" t="str">
        <f>IF(D60="","",VLOOKUP(D60,'9. All Habitats + Multipliers'!$C$4:$K$102,7,FALSE))</f>
        <v>Low</v>
      </c>
      <c r="AH60" s="251">
        <f>IF(AG60="","",VLOOKUP(AG60,'11. Lists'!$J$35:$K$38,2,FALSE))</f>
        <v>1</v>
      </c>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row>
    <row r="61" ht="14.25" customHeight="1">
      <c r="A61" s="1"/>
      <c r="B61" s="1"/>
      <c r="C61" s="1"/>
      <c r="D61" s="1"/>
      <c r="E61" s="1"/>
      <c r="F61" s="1"/>
      <c r="G61" s="1"/>
      <c r="H61" s="260" t="s">
        <v>124</v>
      </c>
      <c r="I61" s="317">
        <f>SUMIFS(I40:I59,D40:D59,"&lt;&gt;"&amp;'11. Lists'!Q10,D40:D59,"&lt;&gt;"&amp;'11. Lists'!Q11,D40:D59,"&lt;&gt;"&amp;'11. Lists'!I4,D40:D59,"&lt;&gt;"&amp;'11. Lists'!I2,D40:D59,"&lt;&gt;"&amp;'11. Lists'!I3)</f>
        <v>274</v>
      </c>
      <c r="J61" s="241"/>
      <c r="K61" s="239"/>
      <c r="L61" s="318">
        <f>SUM(L40:N60)</f>
        <v>0.024897</v>
      </c>
      <c r="M61" s="241"/>
      <c r="N61" s="239"/>
      <c r="O61" s="1"/>
      <c r="P61" s="1"/>
      <c r="Q61" s="1"/>
      <c r="R61" s="16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row>
    <row r="62" ht="14.25" customHeight="1">
      <c r="A62" s="1"/>
      <c r="B62" s="1"/>
      <c r="C62" s="1"/>
      <c r="D62" s="1"/>
      <c r="E62" s="1"/>
      <c r="F62" s="1"/>
      <c r="G62" s="1"/>
      <c r="H62" s="319" t="s">
        <v>145</v>
      </c>
      <c r="I62" s="320" t="str">
        <f>IF(AND(M32=0,I61=0),"Areas Acceptable ✓",IF(OR(I61-M32&lt;=-0.001,(I61-M32&gt;=0.001)),("Error - Area of habitat creation must match area lost ▲"),("Areas Acceptable ✓")))</f>
        <v>Areas Acceptable ✓</v>
      </c>
      <c r="J62" s="241"/>
      <c r="K62" s="241"/>
      <c r="L62" s="241"/>
      <c r="M62" s="241"/>
      <c r="N62" s="239"/>
      <c r="O62" s="10">
        <f>IFERROR(FIND("Error",I62),0)</f>
        <v>0</v>
      </c>
      <c r="P62" s="1"/>
      <c r="Q62" s="1"/>
      <c r="R62" s="16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row>
    <row r="63" ht="14.25" customHeight="1">
      <c r="A63" s="1"/>
      <c r="B63" s="1"/>
      <c r="C63" s="1"/>
      <c r="D63" s="1"/>
      <c r="E63" s="1"/>
      <c r="F63" s="1"/>
      <c r="G63" s="1"/>
      <c r="H63" s="1"/>
      <c r="I63" s="321">
        <f>SUM($I$40:$K$60)</f>
        <v>274</v>
      </c>
      <c r="J63" s="1"/>
      <c r="K63" s="1"/>
      <c r="L63" s="1"/>
      <c r="M63" s="1"/>
      <c r="N63" s="1"/>
      <c r="O63" s="1"/>
      <c r="P63" s="1"/>
      <c r="Q63" s="1"/>
      <c r="R63" s="16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322" t="s">
        <v>146</v>
      </c>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row>
    <row r="64" ht="14.25" customHeight="1">
      <c r="A64" s="1"/>
      <c r="B64" s="128" t="s">
        <v>147</v>
      </c>
      <c r="C64" s="1"/>
      <c r="D64" s="174"/>
      <c r="E64" s="1"/>
      <c r="F64" s="1"/>
      <c r="G64" s="1"/>
      <c r="H64" s="154"/>
      <c r="I64" s="1"/>
      <c r="J64" s="1"/>
      <c r="K64" s="1"/>
      <c r="L64" s="1"/>
      <c r="M64" s="1"/>
      <c r="N64" s="1"/>
      <c r="O64" s="1"/>
      <c r="P64" s="1"/>
      <c r="Q64" s="1"/>
      <c r="R64" s="20"/>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322" t="s">
        <v>148</v>
      </c>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row>
    <row r="65" ht="14.25" customHeight="1">
      <c r="A65" s="176"/>
      <c r="B65" s="1"/>
      <c r="C65" s="1"/>
      <c r="D65" s="1"/>
      <c r="E65" s="1"/>
      <c r="F65" s="1"/>
      <c r="G65" s="1"/>
      <c r="H65" s="1"/>
      <c r="I65" s="1"/>
      <c r="J65" s="1"/>
      <c r="K65" s="1"/>
      <c r="L65" s="1"/>
      <c r="M65" s="1"/>
      <c r="N65" s="1"/>
      <c r="O65" s="1"/>
      <c r="P65" s="1"/>
      <c r="Q65" s="1"/>
      <c r="R65" s="153" t="s">
        <v>77</v>
      </c>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row>
    <row r="66" ht="15.75" customHeight="1">
      <c r="A66" s="176"/>
      <c r="B66" s="323" t="s">
        <v>149</v>
      </c>
      <c r="C66" s="182" t="s">
        <v>150</v>
      </c>
      <c r="D66" s="60"/>
      <c r="E66" s="178" t="s">
        <v>151</v>
      </c>
      <c r="F66" s="179"/>
      <c r="G66" s="60"/>
      <c r="H66" s="185" t="s">
        <v>152</v>
      </c>
      <c r="I66" s="185" t="s">
        <v>153</v>
      </c>
      <c r="J66" s="324" t="s">
        <v>154</v>
      </c>
      <c r="K66" s="27"/>
      <c r="L66" s="325" t="s">
        <v>155</v>
      </c>
      <c r="M66" s="326" t="s">
        <v>156</v>
      </c>
      <c r="N66" s="27"/>
      <c r="O66" s="183" t="s">
        <v>90</v>
      </c>
      <c r="P66" s="60"/>
      <c r="Q66" s="1"/>
      <c r="R66" s="161"/>
      <c r="S66" s="1"/>
      <c r="T66" s="327" t="s">
        <v>157</v>
      </c>
      <c r="U66" s="241"/>
      <c r="V66" s="241"/>
      <c r="W66" s="241"/>
      <c r="X66" s="241"/>
      <c r="Y66" s="241"/>
      <c r="Z66" s="241"/>
      <c r="AA66" s="241"/>
      <c r="AB66" s="241"/>
      <c r="AC66" s="241"/>
      <c r="AD66" s="239"/>
      <c r="AE66" s="185" t="s">
        <v>158</v>
      </c>
      <c r="AF66" s="327" t="s">
        <v>159</v>
      </c>
      <c r="AG66" s="241"/>
      <c r="AH66" s="241"/>
      <c r="AI66" s="241"/>
      <c r="AJ66" s="241"/>
      <c r="AK66" s="241"/>
      <c r="AL66" s="241"/>
      <c r="AM66" s="241"/>
      <c r="AN66" s="241"/>
      <c r="AO66" s="241"/>
      <c r="AP66" s="239"/>
      <c r="AQ66" s="328" t="s">
        <v>160</v>
      </c>
      <c r="AR66" s="327" t="s">
        <v>159</v>
      </c>
      <c r="AS66" s="241"/>
      <c r="AT66" s="241"/>
      <c r="AU66" s="241"/>
      <c r="AV66" s="241"/>
      <c r="AW66" s="241"/>
      <c r="AX66" s="313"/>
      <c r="AY66" s="329"/>
      <c r="AZ66" s="1"/>
      <c r="BA66" s="151" t="s">
        <v>161</v>
      </c>
      <c r="BB66" s="330">
        <f t="shared" ref="BB66:BU66" si="12">COUNTIF(BB68:BB87,"?*")</f>
        <v>0</v>
      </c>
      <c r="BC66" s="330">
        <f t="shared" si="12"/>
        <v>0</v>
      </c>
      <c r="BD66" s="330">
        <f t="shared" si="12"/>
        <v>0</v>
      </c>
      <c r="BE66" s="330">
        <f t="shared" si="12"/>
        <v>0</v>
      </c>
      <c r="BF66" s="330">
        <f t="shared" si="12"/>
        <v>0</v>
      </c>
      <c r="BG66" s="330">
        <f t="shared" si="12"/>
        <v>0</v>
      </c>
      <c r="BH66" s="330">
        <f t="shared" si="12"/>
        <v>0</v>
      </c>
      <c r="BI66" s="330">
        <f t="shared" si="12"/>
        <v>0</v>
      </c>
      <c r="BJ66" s="330">
        <f t="shared" si="12"/>
        <v>0</v>
      </c>
      <c r="BK66" s="330">
        <f t="shared" si="12"/>
        <v>0</v>
      </c>
      <c r="BL66" s="330">
        <f t="shared" si="12"/>
        <v>0</v>
      </c>
      <c r="BM66" s="330">
        <f t="shared" si="12"/>
        <v>0</v>
      </c>
      <c r="BN66" s="330">
        <f t="shared" si="12"/>
        <v>0</v>
      </c>
      <c r="BO66" s="330">
        <f t="shared" si="12"/>
        <v>0</v>
      </c>
      <c r="BP66" s="330">
        <f t="shared" si="12"/>
        <v>0</v>
      </c>
      <c r="BQ66" s="330">
        <f t="shared" si="12"/>
        <v>0</v>
      </c>
      <c r="BR66" s="330">
        <f t="shared" si="12"/>
        <v>0</v>
      </c>
      <c r="BS66" s="330">
        <f t="shared" si="12"/>
        <v>0</v>
      </c>
      <c r="BT66" s="330">
        <f t="shared" si="12"/>
        <v>0</v>
      </c>
      <c r="BU66" s="330">
        <f t="shared" si="12"/>
        <v>0</v>
      </c>
      <c r="BV66" s="1"/>
      <c r="BW66" s="1"/>
      <c r="BX66" s="1"/>
      <c r="BY66" s="1"/>
      <c r="BZ66" s="1"/>
      <c r="CA66" s="1"/>
      <c r="CB66" s="1"/>
      <c r="CC66" s="1"/>
      <c r="CD66" s="1"/>
      <c r="CE66" s="1"/>
      <c r="CF66" s="1"/>
      <c r="CG66" s="1"/>
      <c r="CH66" s="1"/>
      <c r="CI66" s="1"/>
      <c r="CJ66" s="1"/>
      <c r="CK66" s="1"/>
      <c r="CL66" s="1"/>
      <c r="CM66" s="1"/>
      <c r="CN66" s="1"/>
      <c r="CO66" s="1"/>
      <c r="CP66" s="1"/>
      <c r="CQ66" s="1"/>
      <c r="CR66" s="1"/>
    </row>
    <row r="67" ht="48.0" customHeight="1">
      <c r="A67" s="176"/>
      <c r="B67" s="79"/>
      <c r="C67" s="331" t="s">
        <v>162</v>
      </c>
      <c r="D67" s="190" t="s">
        <v>163</v>
      </c>
      <c r="E67" s="168" t="s">
        <v>164</v>
      </c>
      <c r="F67" s="280" t="s">
        <v>165</v>
      </c>
      <c r="G67" s="54"/>
      <c r="H67" s="79"/>
      <c r="I67" s="79"/>
      <c r="J67" s="170"/>
      <c r="K67" s="172"/>
      <c r="L67" s="138"/>
      <c r="M67" s="332"/>
      <c r="N67" s="172"/>
      <c r="O67" s="333" t="s">
        <v>105</v>
      </c>
      <c r="P67" s="190" t="s">
        <v>106</v>
      </c>
      <c r="Q67" s="1"/>
      <c r="R67" s="161"/>
      <c r="S67" s="1"/>
      <c r="T67" s="334" t="s">
        <v>166</v>
      </c>
      <c r="U67" s="335" t="s">
        <v>167</v>
      </c>
      <c r="V67" s="336" t="s">
        <v>168</v>
      </c>
      <c r="W67" s="337" t="s">
        <v>169</v>
      </c>
      <c r="X67" s="338" t="s">
        <v>170</v>
      </c>
      <c r="Y67" s="339"/>
      <c r="Z67" s="339"/>
      <c r="AA67" s="339"/>
      <c r="AB67" s="338" t="s">
        <v>171</v>
      </c>
      <c r="AC67" s="338" t="s">
        <v>172</v>
      </c>
      <c r="AD67" s="336" t="s">
        <v>173</v>
      </c>
      <c r="AE67" s="79"/>
      <c r="AF67" s="340" t="s">
        <v>166</v>
      </c>
      <c r="AG67" s="335" t="s">
        <v>107</v>
      </c>
      <c r="AH67" s="336" t="s">
        <v>108</v>
      </c>
      <c r="AI67" s="337" t="s">
        <v>109</v>
      </c>
      <c r="AJ67" s="341" t="s">
        <v>108</v>
      </c>
      <c r="AK67" s="194"/>
      <c r="AL67" s="194"/>
      <c r="AM67" s="194"/>
      <c r="AN67" s="342" t="s">
        <v>93</v>
      </c>
      <c r="AO67" s="338" t="s">
        <v>93</v>
      </c>
      <c r="AP67" s="343" t="s">
        <v>110</v>
      </c>
      <c r="AQ67" s="344"/>
      <c r="AR67" s="336" t="s">
        <v>174</v>
      </c>
      <c r="AS67" s="335" t="s">
        <v>175</v>
      </c>
      <c r="AT67" s="336" t="s">
        <v>176</v>
      </c>
      <c r="AU67" s="345" t="s">
        <v>177</v>
      </c>
      <c r="AV67" s="336" t="s">
        <v>178</v>
      </c>
      <c r="AW67" s="346" t="s">
        <v>179</v>
      </c>
      <c r="AX67" s="347" t="s">
        <v>180</v>
      </c>
      <c r="AY67" s="348" t="s">
        <v>181</v>
      </c>
      <c r="AZ67" s="1"/>
      <c r="BA67" s="160" t="s">
        <v>182</v>
      </c>
      <c r="BB67" s="349">
        <v>1.0</v>
      </c>
      <c r="BC67" s="349">
        <v>2.0</v>
      </c>
      <c r="BD67" s="349">
        <v>3.0</v>
      </c>
      <c r="BE67" s="349">
        <v>4.0</v>
      </c>
      <c r="BF67" s="349">
        <v>5.0</v>
      </c>
      <c r="BG67" s="349">
        <v>6.0</v>
      </c>
      <c r="BH67" s="349">
        <v>7.0</v>
      </c>
      <c r="BI67" s="349">
        <v>8.0</v>
      </c>
      <c r="BJ67" s="349">
        <v>9.0</v>
      </c>
      <c r="BK67" s="349">
        <v>10.0</v>
      </c>
      <c r="BL67" s="349">
        <v>11.0</v>
      </c>
      <c r="BM67" s="349">
        <v>12.0</v>
      </c>
      <c r="BN67" s="349">
        <v>13.0</v>
      </c>
      <c r="BO67" s="349">
        <v>14.0</v>
      </c>
      <c r="BP67" s="349">
        <v>15.0</v>
      </c>
      <c r="BQ67" s="349">
        <v>16.0</v>
      </c>
      <c r="BR67" s="349">
        <v>17.0</v>
      </c>
      <c r="BS67" s="349">
        <v>18.0</v>
      </c>
      <c r="BT67" s="349">
        <v>19.0</v>
      </c>
      <c r="BU67" s="349">
        <v>20.0</v>
      </c>
      <c r="BV67" s="350" t="s">
        <v>183</v>
      </c>
      <c r="BW67" s="349" t="s">
        <v>184</v>
      </c>
      <c r="BX67" s="349" t="s">
        <v>185</v>
      </c>
      <c r="BY67" s="1"/>
      <c r="BZ67" s="1"/>
      <c r="CA67" s="1"/>
      <c r="CB67" s="1"/>
      <c r="CC67" s="1"/>
      <c r="CD67" s="1"/>
      <c r="CE67" s="1"/>
      <c r="CF67" s="1"/>
      <c r="CG67" s="1"/>
      <c r="CH67" s="1"/>
      <c r="CI67" s="1"/>
      <c r="CJ67" s="1"/>
      <c r="CK67" s="1"/>
      <c r="CL67" s="1"/>
      <c r="CM67" s="1"/>
      <c r="CN67" s="1"/>
      <c r="CO67" s="1"/>
      <c r="CP67" s="1"/>
      <c r="CQ67" s="1"/>
      <c r="CR67" s="1"/>
    </row>
    <row r="68" ht="14.25" customHeight="1">
      <c r="A68" s="176"/>
      <c r="B68" s="199">
        <v>1.0</v>
      </c>
      <c r="C68" s="351" t="str">
        <f t="shared" ref="C68:C87" si="14">IF(D68="","",C11)</f>
        <v/>
      </c>
      <c r="D68" s="352" t="str">
        <f t="shared" ref="D68:D87" si="15">IF(OR(K11=0, K11=""),"",D11)</f>
        <v/>
      </c>
      <c r="E68" s="353" t="str">
        <f t="shared" ref="E68:E88" si="16">IF(AX68="","",AX68)</f>
        <v/>
      </c>
      <c r="F68" s="201"/>
      <c r="G68" s="32"/>
      <c r="H68" s="354" t="str">
        <f t="shared" ref="H68:H87" si="17">IF(D68="","",AB68)</f>
        <v/>
      </c>
      <c r="I68" s="355" t="str">
        <f t="shared" ref="I68:I87" si="18">IF(OR(K11="", K11=0),"",K11)</f>
        <v/>
      </c>
      <c r="J68" s="356" t="str">
        <f>IFERROR(IF(F68="","",VLOOKUP(F68,'10. Condition and Temporal'!$B$6:$F$103,5,FALSE)), "Error ▲")</f>
        <v/>
      </c>
      <c r="K68" s="43"/>
      <c r="L68" s="357" t="str">
        <f t="shared" ref="L68:L87" si="19">IFERROR(IF(D68="","",IF(AX68="Distinctiveness",(((((I68*AH68*AJ68)-(I68*V68*X68))*(AV68*AT68))+(I68*V68*X68))*(AP68))/10000,((((I68*AJ68*AH68)-(I68*V68*X68))*(AV68*AR68))+(I68*V68*X68))*AP68/10000)),"Error ▲")</f>
        <v/>
      </c>
      <c r="M68" s="358" t="str">
        <f t="shared" ref="M68:M87" si="20">IFERROR(IF(F68="","",L68-AD68), "Error ▲")</f>
        <v/>
      </c>
      <c r="N68" s="359"/>
      <c r="O68" s="360"/>
      <c r="P68" s="285"/>
      <c r="Q68" s="1"/>
      <c r="R68" s="161"/>
      <c r="S68" s="1"/>
      <c r="T68" s="361" t="str">
        <f t="shared" ref="T68:T88" si="21">IF(D68="","",K11)</f>
        <v/>
      </c>
      <c r="U68" s="362" t="str">
        <f t="shared" ref="U68:U88" si="22">IF($D68="","",T11)</f>
        <v/>
      </c>
      <c r="V68" s="363" t="str">
        <f t="shared" ref="V68:X68" si="13">IF($D68="","",V11)</f>
        <v/>
      </c>
      <c r="W68" s="362" t="str">
        <f t="shared" si="13"/>
        <v/>
      </c>
      <c r="X68" s="363" t="str">
        <f t="shared" si="13"/>
        <v/>
      </c>
      <c r="Y68" s="364"/>
      <c r="Z68" s="365"/>
      <c r="AA68" s="366"/>
      <c r="AB68" s="362" t="str">
        <f t="shared" ref="AB68:AB88" si="24">IF($D68="","",AB11)</f>
        <v/>
      </c>
      <c r="AC68" s="363" t="str">
        <f t="shared" ref="AC68:AC88" si="25">IF($D68="","",AD11)</f>
        <v/>
      </c>
      <c r="AD68" s="367" t="str">
        <f t="shared" ref="AD68:AD87" si="26">IF(AC68="","",(T68*V68*X68)*AC68/10000)</f>
        <v/>
      </c>
      <c r="AE68" s="367" t="str">
        <f t="shared" ref="AE68:AE88" si="27">IF(AD68="","",IF(AH68&lt;V68,"Not Acceptable","Acceptable"))</f>
        <v/>
      </c>
      <c r="AF68" s="367" t="str">
        <f t="shared" ref="AF68:AF88" si="28">IF(D68="","",I68)</f>
        <v/>
      </c>
      <c r="AG68" s="362" t="str">
        <f>IF(D68="","",VLOOKUP(F68,'9. All Habitats + Multipliers'!$C$4:$K$102,5,FALSE))</f>
        <v/>
      </c>
      <c r="AH68" s="368" t="str">
        <f>IF(AG68="","",VLOOKUP(AG68,'11. Lists'!$B$47:$D$49,2,FALSE))</f>
        <v/>
      </c>
      <c r="AI68" s="362" t="str">
        <f t="shared" ref="AI68:AI88" si="29">IF(D68="","",J68)</f>
        <v/>
      </c>
      <c r="AJ68" s="363" t="str">
        <f>IF(AI68="","",VLOOKUP(AI68,'11. Lists'!$F$47:$G$51,2,FALSE))</f>
        <v/>
      </c>
      <c r="AK68" s="369"/>
      <c r="AL68" s="370"/>
      <c r="AM68" s="371"/>
      <c r="AN68" s="362" t="str">
        <f t="shared" ref="AN68:AN88" si="30">IF(H68="","",H68)</f>
        <v/>
      </c>
      <c r="AO68" s="372" t="str">
        <f>IF(AN68="","",VLOOKUP(AN68,'11. Lists'!$F$36:$H$38,2,FALSE))</f>
        <v/>
      </c>
      <c r="AP68" s="363" t="str">
        <f>IF(AN68="","",VLOOKUP(AN68,'11. Lists'!$F$36:$H$38,3,FALSE))</f>
        <v/>
      </c>
      <c r="AQ68" s="362" t="str">
        <f>IF(D68="","",IF(AX68="Distinctiveness","N/A",VLOOKUP(F68,'10. Condition and Temporal'!$B$6:$L$103,11,FALSE)))</f>
        <v/>
      </c>
      <c r="AR68" s="373" t="str">
        <f>IF(AQ68="","",IF(AQ68="N/A","1",VLOOKUP(AQ68,'11. Lists'!$I$47:$K$80,3,FALSE)))</f>
        <v/>
      </c>
      <c r="AS68" s="374" t="str">
        <f>IF(D68="","",IF(AX68="Condition","N/A",VLOOKUP(F68,'10. Condition and Temporal'!$B$6:$M$106,12,FALSE)))</f>
        <v/>
      </c>
      <c r="AT68" s="373" t="str">
        <f>IF(AS68="","",IF(AS68="N/A","1",VLOOKUP(AS68,'11. Lists'!$I$47:$K$80,3,FALSE)))</f>
        <v/>
      </c>
      <c r="AU68" s="362" t="str">
        <f>IF(D68="","",VLOOKUP(F68,'9. All Habitats + Multipliers'!$C$4:$K$102,8,FALSE))</f>
        <v/>
      </c>
      <c r="AV68" s="363" t="str">
        <f>IF(AU68="","",VLOOKUP(AU68,'11. Lists'!$J$35:$K$38,2,FALSE))</f>
        <v/>
      </c>
      <c r="AW68" s="367" t="str">
        <f>IF(D68="","",VLOOKUP(D68,'10. Condition and Temporal'!$B$6:$M$103,4,FALSE))</f>
        <v/>
      </c>
      <c r="AX68" s="367" t="str">
        <f t="shared" ref="AX68:AX87" si="31">IF(F68="","",IF(D68=F68,"Condition","Distinctiveness"))</f>
        <v/>
      </c>
      <c r="AY68" s="375" t="str">
        <f t="shared" ref="AY68:AY87" si="32">IF(COUNTIF(F68,"*grassland*"),"Grassland",IF(COUNTIF(F68,"*scree*"),"Sparsely vegetated land",C68))</f>
        <v/>
      </c>
      <c r="AZ68" s="1"/>
      <c r="BA68" s="214">
        <v>1.0</v>
      </c>
      <c r="BB68" s="215" t="str">
        <f t="shared" ref="BB68:BB87" si="33">TRIM(MID(SUBSTITUTE($AW$68,$BA$64,REPT(" ",LEN($AW$68))),($BA68-1)*LEN($AW$68)+1,LEN($AW$68)))</f>
        <v/>
      </c>
      <c r="BC68" s="215" t="str">
        <f t="shared" ref="BC68:BC87" si="34">TRIM(MID(SUBSTITUTE($AW$69,$BA$64,REPT(" ",LEN($AW$69))),($BA68-1)*LEN($AW$69)+1,LEN($AW$69)))</f>
        <v/>
      </c>
      <c r="BD68" s="215" t="str">
        <f t="shared" ref="BD68:BD87" si="35">TRIM(MID(SUBSTITUTE($AW$70,$BA$64,REPT(" ",LEN($AW$70))),($BA68-1)*LEN($AW$70)+1,LEN($AW$70)))</f>
        <v/>
      </c>
      <c r="BE68" s="215" t="str">
        <f t="shared" ref="BE68:BE87" si="36">TRIM(MID(SUBSTITUTE($AW$71,$BA$64,REPT(" ",LEN($AW$71))),($BA68-1)*LEN($AW$71)+1,LEN($AW$71)))</f>
        <v/>
      </c>
      <c r="BF68" s="215" t="str">
        <f t="shared" ref="BF68:BF87" si="37">TRIM(MID(SUBSTITUTE($AW$72,$BA$64,REPT(" ",LEN($AW$72))),($BA68-1)*LEN($AW$72)+1,LEN($AW$72)))</f>
        <v/>
      </c>
      <c r="BG68" s="215" t="str">
        <f t="shared" ref="BG68:BG87" si="38">TRIM(MID(SUBSTITUTE($AW$73,$BA$64,REPT(" ",LEN($AW$73))),($BA68-1)*LEN($AW$73)+1,LEN($AW$73)))</f>
        <v/>
      </c>
      <c r="BH68" s="215" t="str">
        <f t="shared" ref="BH68:BH87" si="39">TRIM(MID(SUBSTITUTE($AW$74,$BA$64,REPT(" ",LEN($AW$74))),($BA68-1)*LEN($AW$74)+1,LEN($AW$74)))</f>
        <v/>
      </c>
      <c r="BI68" s="215" t="str">
        <f t="shared" ref="BI68:BI87" si="40">TRIM(MID(SUBSTITUTE($AW$75,$BA$64,REPT(" ",LEN($AW$75))),($BA68-1)*LEN($AW$75)+1,LEN($AW$75)))</f>
        <v/>
      </c>
      <c r="BJ68" s="215" t="str">
        <f t="shared" ref="BJ68:BJ87" si="41">TRIM(MID(SUBSTITUTE($AW$76,$BA$64,REPT(" ",LEN($AW$76))),($BA68-1)*LEN($AW$76)+1,LEN($AW$76)))</f>
        <v/>
      </c>
      <c r="BK68" s="215" t="str">
        <f t="shared" ref="BK68:BK87" si="42">TRIM(MID(SUBSTITUTE($AW$77,$BA$64,REPT(" ",LEN($AW$77))),($BA68-1)*LEN($AW$77)+1,LEN($AW$77)))</f>
        <v/>
      </c>
      <c r="BL68" s="215" t="str">
        <f t="shared" ref="BL68:BL87" si="43">TRIM(MID(SUBSTITUTE($AW$78,$BA$64,REPT(" ",LEN($AW$78))),($BA68-1)*LEN($AW$78)+1,LEN($AW$78)))</f>
        <v/>
      </c>
      <c r="BM68" s="215" t="str">
        <f t="shared" ref="BM68:BM87" si="44">TRIM(MID(SUBSTITUTE($AW$79,$BA$64,REPT(" ",LEN($AW$79))),($BA68-1)*LEN($AW$79)+1,LEN($AW$79)))</f>
        <v/>
      </c>
      <c r="BN68" s="215" t="str">
        <f t="shared" ref="BN68:BN87" si="45">TRIM(MID(SUBSTITUTE($AW$80,$BA$64,REPT(" ",LEN($AW$80))),($BA68-1)*LEN($AW$80)+1,LEN($AW$80)))</f>
        <v/>
      </c>
      <c r="BO68" s="215" t="str">
        <f t="shared" ref="BO68:BO87" si="46">TRIM(MID(SUBSTITUTE($AW$81,$BA$64,REPT(" ",LEN($AW$81))),($BA68-1)*LEN($AW$81)+1,LEN($AW$81)))</f>
        <v/>
      </c>
      <c r="BP68" s="215" t="str">
        <f t="shared" ref="BP68:BP87" si="47">TRIM(MID(SUBSTITUTE($AW$82,$BA$64,REPT(" ",LEN($AW$82))),($BA68-1)*LEN($AW$82)+1,LEN($AW$82)))</f>
        <v/>
      </c>
      <c r="BQ68" s="215" t="str">
        <f t="shared" ref="BQ68:BQ87" si="48">TRIM(MID(SUBSTITUTE($AW$83,$BA$64,REPT(" ",LEN($AW$83))),($BA68-1)*LEN($AW$83)+1,LEN($AW$83)))</f>
        <v/>
      </c>
      <c r="BR68" s="215" t="str">
        <f t="shared" ref="BR68:BR87" si="49">TRIM(MID(SUBSTITUTE($AW$84,$BA$64,REPT(" ",LEN($AW$84))),($BA68-1)*LEN($AW$84)+1,LEN($AW$84)))</f>
        <v/>
      </c>
      <c r="BS68" s="215" t="str">
        <f t="shared" ref="BS68:BS87" si="50">TRIM(MID(SUBSTITUTE($AW$85,$BA$64,REPT(" ",LEN($AW$85))),($BA68-1)*LEN($AW$85)+1,LEN($AW$85)))</f>
        <v/>
      </c>
      <c r="BT68" s="215" t="str">
        <f t="shared" ref="BT68:BT87" si="51">TRIM(MID(SUBSTITUTE($AW$86,$BA$64,REPT(" ",LEN($AW$86))),($BA68-1)*LEN($AW$86)+1,LEN($AW$86)))</f>
        <v/>
      </c>
      <c r="BU68" s="211" t="str">
        <f t="shared" ref="BU68:BU87" si="52">TRIM(MID(SUBSTITUTE($AW$87,$BA$64,REPT(" ",LEN($AW$87))),($BA68-1)*LEN($AW$87)+1,LEN($AW$87)))</f>
        <v/>
      </c>
      <c r="BV68" s="212" t="str">
        <f t="shared" ref="BV68:BV87" si="53">IF(BX68=0,"",CONCATENATE(BW68,"68:",BW68,BX68+67))</f>
        <v/>
      </c>
      <c r="BW68" s="215" t="s">
        <v>186</v>
      </c>
      <c r="BX68" s="215">
        <f>BB66</f>
        <v>0</v>
      </c>
      <c r="BY68" s="1"/>
      <c r="BZ68" s="1"/>
      <c r="CA68" s="1"/>
      <c r="CB68" s="1"/>
      <c r="CC68" s="1"/>
      <c r="CD68" s="1"/>
      <c r="CE68" s="1"/>
      <c r="CF68" s="1"/>
      <c r="CG68" s="1"/>
      <c r="CH68" s="1"/>
      <c r="CI68" s="1"/>
      <c r="CJ68" s="1"/>
      <c r="CK68" s="1"/>
      <c r="CL68" s="1"/>
      <c r="CM68" s="1"/>
      <c r="CN68" s="1"/>
      <c r="CO68" s="1"/>
      <c r="CP68" s="1"/>
      <c r="CQ68" s="1"/>
      <c r="CR68" s="1"/>
    </row>
    <row r="69" ht="14.25" customHeight="1">
      <c r="A69" s="176"/>
      <c r="B69" s="221">
        <v>2.0</v>
      </c>
      <c r="C69" s="376" t="str">
        <f t="shared" si="14"/>
        <v/>
      </c>
      <c r="D69" s="352" t="str">
        <f t="shared" si="15"/>
        <v/>
      </c>
      <c r="E69" s="377" t="str">
        <f t="shared" si="16"/>
        <v/>
      </c>
      <c r="F69" s="222"/>
      <c r="G69" s="43"/>
      <c r="H69" s="354" t="str">
        <f t="shared" si="17"/>
        <v/>
      </c>
      <c r="I69" s="355" t="str">
        <f t="shared" si="18"/>
        <v/>
      </c>
      <c r="J69" s="356" t="str">
        <f>IFERROR(IF(F69="","",VLOOKUP(F69,'10. Condition and Temporal'!$B$6:$F$103,5,FALSE)), "Error ▲")</f>
        <v/>
      </c>
      <c r="K69" s="43"/>
      <c r="L69" s="357" t="str">
        <f t="shared" si="19"/>
        <v/>
      </c>
      <c r="M69" s="358" t="str">
        <f t="shared" si="20"/>
        <v/>
      </c>
      <c r="N69" s="359"/>
      <c r="O69" s="378"/>
      <c r="P69" s="300"/>
      <c r="Q69" s="1"/>
      <c r="R69" s="161"/>
      <c r="S69" s="1"/>
      <c r="T69" s="361" t="str">
        <f t="shared" si="21"/>
        <v/>
      </c>
      <c r="U69" s="379" t="str">
        <f t="shared" si="22"/>
        <v/>
      </c>
      <c r="V69" s="211" t="str">
        <f t="shared" ref="V69:X69" si="23">IF($D69="","",V12)</f>
        <v/>
      </c>
      <c r="W69" s="214" t="str">
        <f t="shared" si="23"/>
        <v/>
      </c>
      <c r="X69" s="211" t="str">
        <f t="shared" si="23"/>
        <v/>
      </c>
      <c r="Y69" s="364"/>
      <c r="Z69" s="365"/>
      <c r="AA69" s="366"/>
      <c r="AB69" s="214" t="str">
        <f t="shared" si="24"/>
        <v/>
      </c>
      <c r="AC69" s="380" t="str">
        <f t="shared" si="25"/>
        <v/>
      </c>
      <c r="AD69" s="361" t="str">
        <f t="shared" si="26"/>
        <v/>
      </c>
      <c r="AE69" s="361" t="str">
        <f t="shared" si="27"/>
        <v/>
      </c>
      <c r="AF69" s="219" t="str">
        <f t="shared" si="28"/>
        <v/>
      </c>
      <c r="AG69" s="379" t="str">
        <f>IF(D69="","",VLOOKUP(F69,'9. All Habitats + Multipliers'!$C$4:$K$102,5,FALSE))</f>
        <v/>
      </c>
      <c r="AH69" s="381" t="str">
        <f>IF(AG69="","",VLOOKUP(AG69,'11. Lists'!$B$47:$D$49,2,FALSE))</f>
        <v/>
      </c>
      <c r="AI69" s="214" t="str">
        <f t="shared" si="29"/>
        <v/>
      </c>
      <c r="AJ69" s="211" t="str">
        <f>IF(AI69="","",VLOOKUP(AI69,'11. Lists'!$F$47:$G$51,2,FALSE))</f>
        <v/>
      </c>
      <c r="AK69" s="364"/>
      <c r="AL69" s="365"/>
      <c r="AM69" s="366"/>
      <c r="AN69" s="214" t="str">
        <f t="shared" si="30"/>
        <v/>
      </c>
      <c r="AO69" s="215" t="str">
        <f>IF(AN69="","",VLOOKUP(AN69,'11. Lists'!$F$36:$H$38,2,FALSE))</f>
        <v/>
      </c>
      <c r="AP69" s="211" t="str">
        <f>IF(AN69="","",VLOOKUP(AN69,'11. Lists'!$F$36:$H$38,3,FALSE))</f>
        <v/>
      </c>
      <c r="AQ69" s="379" t="str">
        <f>IF(D69="","",IF(AX69="Distinctiveness","N/A",VLOOKUP(F69,'10. Condition and Temporal'!$B$6:$L$103,11,FALSE)))</f>
        <v/>
      </c>
      <c r="AR69" s="382" t="str">
        <f>IF(AQ69="","",IF(AQ69="N/A","1",VLOOKUP(AQ69,'11. Lists'!$I$47:$K$80,3,FALSE)))</f>
        <v/>
      </c>
      <c r="AS69" s="383" t="str">
        <f>IF(D69="","",IF(AX69="Condition","N/A",VLOOKUP(F69,'10. Condition and Temporal'!$B$6:$M$106,12,FALSE)))</f>
        <v/>
      </c>
      <c r="AT69" s="382" t="str">
        <f>IF(AS69="","",IF(AS69="N/A","1",VLOOKUP(AS69,'11. Lists'!$I$47:$K$80,3,FALSE)))</f>
        <v/>
      </c>
      <c r="AU69" s="379" t="str">
        <f>IF(D69="","",VLOOKUP(F69,'9. All Habitats + Multipliers'!$C$4:$K$102,8,FALSE))</f>
        <v/>
      </c>
      <c r="AV69" s="380" t="str">
        <f>IF(AU69="","",VLOOKUP(AU69,'11. Lists'!$J$35:$K$38,2,FALSE))</f>
        <v/>
      </c>
      <c r="AW69" s="361" t="str">
        <f>IF(D69="","",VLOOKUP(D69,'10. Condition and Temporal'!$B$6:$M$103,4,FALSE))</f>
        <v/>
      </c>
      <c r="AX69" s="361" t="str">
        <f t="shared" si="31"/>
        <v/>
      </c>
      <c r="AY69" s="384" t="str">
        <f t="shared" si="32"/>
        <v/>
      </c>
      <c r="AZ69" s="1"/>
      <c r="BA69" s="214">
        <v>2.0</v>
      </c>
      <c r="BB69" s="215" t="str">
        <f t="shared" si="33"/>
        <v/>
      </c>
      <c r="BC69" s="215" t="str">
        <f t="shared" si="34"/>
        <v/>
      </c>
      <c r="BD69" s="215" t="str">
        <f t="shared" si="35"/>
        <v/>
      </c>
      <c r="BE69" s="215" t="str">
        <f t="shared" si="36"/>
        <v/>
      </c>
      <c r="BF69" s="215" t="str">
        <f t="shared" si="37"/>
        <v/>
      </c>
      <c r="BG69" s="215" t="str">
        <f t="shared" si="38"/>
        <v/>
      </c>
      <c r="BH69" s="215" t="str">
        <f t="shared" si="39"/>
        <v/>
      </c>
      <c r="BI69" s="215" t="str">
        <f t="shared" si="40"/>
        <v/>
      </c>
      <c r="BJ69" s="215" t="str">
        <f t="shared" si="41"/>
        <v/>
      </c>
      <c r="BK69" s="215" t="str">
        <f t="shared" si="42"/>
        <v/>
      </c>
      <c r="BL69" s="215" t="str">
        <f t="shared" si="43"/>
        <v/>
      </c>
      <c r="BM69" s="215" t="str">
        <f t="shared" si="44"/>
        <v/>
      </c>
      <c r="BN69" s="215" t="str">
        <f t="shared" si="45"/>
        <v/>
      </c>
      <c r="BO69" s="215" t="str">
        <f t="shared" si="46"/>
        <v/>
      </c>
      <c r="BP69" s="215" t="str">
        <f t="shared" si="47"/>
        <v/>
      </c>
      <c r="BQ69" s="215" t="str">
        <f t="shared" si="48"/>
        <v/>
      </c>
      <c r="BR69" s="215" t="str">
        <f t="shared" si="49"/>
        <v/>
      </c>
      <c r="BS69" s="215" t="str">
        <f t="shared" si="50"/>
        <v/>
      </c>
      <c r="BT69" s="215" t="str">
        <f t="shared" si="51"/>
        <v/>
      </c>
      <c r="BU69" s="211" t="str">
        <f t="shared" si="52"/>
        <v/>
      </c>
      <c r="BV69" s="212" t="str">
        <f t="shared" si="53"/>
        <v/>
      </c>
      <c r="BW69" s="215" t="s">
        <v>187</v>
      </c>
      <c r="BX69" s="215">
        <f>BC66</f>
        <v>0</v>
      </c>
      <c r="BY69" s="1"/>
      <c r="BZ69" s="1"/>
      <c r="CA69" s="1"/>
      <c r="CB69" s="1"/>
      <c r="CC69" s="1"/>
      <c r="CD69" s="1"/>
      <c r="CE69" s="1"/>
      <c r="CF69" s="1"/>
      <c r="CG69" s="1"/>
      <c r="CH69" s="1"/>
      <c r="CI69" s="1"/>
      <c r="CJ69" s="1"/>
      <c r="CK69" s="1"/>
      <c r="CL69" s="1"/>
      <c r="CM69" s="1"/>
      <c r="CN69" s="1"/>
      <c r="CO69" s="1"/>
      <c r="CP69" s="1"/>
      <c r="CQ69" s="1"/>
      <c r="CR69" s="1"/>
    </row>
    <row r="70" ht="14.25" customHeight="1">
      <c r="A70" s="176"/>
      <c r="B70" s="221">
        <v>3.0</v>
      </c>
      <c r="C70" s="376" t="str">
        <f t="shared" si="14"/>
        <v/>
      </c>
      <c r="D70" s="352" t="str">
        <f t="shared" si="15"/>
        <v/>
      </c>
      <c r="E70" s="377" t="str">
        <f t="shared" si="16"/>
        <v/>
      </c>
      <c r="F70" s="222"/>
      <c r="G70" s="43"/>
      <c r="H70" s="354" t="str">
        <f t="shared" si="17"/>
        <v/>
      </c>
      <c r="I70" s="355" t="str">
        <f t="shared" si="18"/>
        <v/>
      </c>
      <c r="J70" s="356" t="str">
        <f>IFERROR(IF(F70="","",VLOOKUP(F70,'10. Condition and Temporal'!$B$6:$F$103,5,FALSE)), "Error ▲")</f>
        <v/>
      </c>
      <c r="K70" s="43"/>
      <c r="L70" s="357" t="str">
        <f t="shared" si="19"/>
        <v/>
      </c>
      <c r="M70" s="358" t="str">
        <f t="shared" si="20"/>
        <v/>
      </c>
      <c r="N70" s="359"/>
      <c r="O70" s="378"/>
      <c r="P70" s="300"/>
      <c r="Q70" s="1"/>
      <c r="R70" s="161"/>
      <c r="S70" s="1"/>
      <c r="T70" s="361" t="str">
        <f t="shared" si="21"/>
        <v/>
      </c>
      <c r="U70" s="379" t="str">
        <f t="shared" si="22"/>
        <v/>
      </c>
      <c r="V70" s="211" t="str">
        <f t="shared" ref="V70:X70" si="54">IF($D70="","",V13)</f>
        <v/>
      </c>
      <c r="W70" s="214" t="str">
        <f t="shared" si="54"/>
        <v/>
      </c>
      <c r="X70" s="211" t="str">
        <f t="shared" si="54"/>
        <v/>
      </c>
      <c r="Y70" s="364"/>
      <c r="Z70" s="365"/>
      <c r="AA70" s="366"/>
      <c r="AB70" s="214" t="str">
        <f t="shared" si="24"/>
        <v/>
      </c>
      <c r="AC70" s="380" t="str">
        <f t="shared" si="25"/>
        <v/>
      </c>
      <c r="AD70" s="361" t="str">
        <f t="shared" si="26"/>
        <v/>
      </c>
      <c r="AE70" s="361" t="str">
        <f t="shared" si="27"/>
        <v/>
      </c>
      <c r="AF70" s="219" t="str">
        <f t="shared" si="28"/>
        <v/>
      </c>
      <c r="AG70" s="379" t="str">
        <f>IF(D70="","",VLOOKUP(F70,'9. All Habitats + Multipliers'!$C$4:$K$102,5,FALSE))</f>
        <v/>
      </c>
      <c r="AH70" s="381" t="str">
        <f>IF(AG70="","",VLOOKUP(AG70,'11. Lists'!$B$47:$D$49,2,FALSE))</f>
        <v/>
      </c>
      <c r="AI70" s="214" t="str">
        <f t="shared" si="29"/>
        <v/>
      </c>
      <c r="AJ70" s="211" t="str">
        <f>IF(AI70="","",VLOOKUP(AI70,'11. Lists'!$F$47:$G$51,2,FALSE))</f>
        <v/>
      </c>
      <c r="AK70" s="364"/>
      <c r="AL70" s="365"/>
      <c r="AM70" s="366"/>
      <c r="AN70" s="214" t="str">
        <f t="shared" si="30"/>
        <v/>
      </c>
      <c r="AO70" s="215" t="str">
        <f>IF(AN70="","",VLOOKUP(AN70,'11. Lists'!$F$36:$H$38,2,FALSE))</f>
        <v/>
      </c>
      <c r="AP70" s="211" t="str">
        <f>IF(AN70="","",VLOOKUP(AN70,'11. Lists'!$F$36:$H$38,3,FALSE))</f>
        <v/>
      </c>
      <c r="AQ70" s="379" t="str">
        <f>IF(D70="","",IF(AX70="Distinctiveness","N/A",VLOOKUP(F70,'10. Condition and Temporal'!$B$6:$L$103,11,FALSE)))</f>
        <v/>
      </c>
      <c r="AR70" s="382" t="str">
        <f>IF(AQ70="","",IF(AQ70="N/A","1",VLOOKUP(AQ70,'11. Lists'!$I$47:$K$80,3,FALSE)))</f>
        <v/>
      </c>
      <c r="AS70" s="383" t="str">
        <f>IF(D70="","",IF(AX70="Condition","N/A",VLOOKUP(F70,'10. Condition and Temporal'!$B$6:$M$106,12,FALSE)))</f>
        <v/>
      </c>
      <c r="AT70" s="382" t="str">
        <f>IF(AS70="","",IF(AS70="N/A","1",VLOOKUP(AS70,'11. Lists'!$I$47:$K$80,3,FALSE)))</f>
        <v/>
      </c>
      <c r="AU70" s="379" t="str">
        <f>IF(D70="","",VLOOKUP(F70,'9. All Habitats + Multipliers'!$C$4:$K$102,8,FALSE))</f>
        <v/>
      </c>
      <c r="AV70" s="380" t="str">
        <f>IF(AU70="","",VLOOKUP(AU70,'11. Lists'!$J$35:$K$38,2,FALSE))</f>
        <v/>
      </c>
      <c r="AW70" s="361" t="str">
        <f>IF(D70="","",VLOOKUP(D70,'10. Condition and Temporal'!$B$6:$M$103,4,FALSE))</f>
        <v/>
      </c>
      <c r="AX70" s="361" t="str">
        <f t="shared" si="31"/>
        <v/>
      </c>
      <c r="AY70" s="384" t="str">
        <f t="shared" si="32"/>
        <v/>
      </c>
      <c r="AZ70" s="1"/>
      <c r="BA70" s="214">
        <v>3.0</v>
      </c>
      <c r="BB70" s="215" t="str">
        <f t="shared" si="33"/>
        <v/>
      </c>
      <c r="BC70" s="215" t="str">
        <f t="shared" si="34"/>
        <v/>
      </c>
      <c r="BD70" s="215" t="str">
        <f t="shared" si="35"/>
        <v/>
      </c>
      <c r="BE70" s="215" t="str">
        <f t="shared" si="36"/>
        <v/>
      </c>
      <c r="BF70" s="215" t="str">
        <f t="shared" si="37"/>
        <v/>
      </c>
      <c r="BG70" s="215" t="str">
        <f t="shared" si="38"/>
        <v/>
      </c>
      <c r="BH70" s="215" t="str">
        <f t="shared" si="39"/>
        <v/>
      </c>
      <c r="BI70" s="215" t="str">
        <f t="shared" si="40"/>
        <v/>
      </c>
      <c r="BJ70" s="215" t="str">
        <f t="shared" si="41"/>
        <v/>
      </c>
      <c r="BK70" s="215" t="str">
        <f t="shared" si="42"/>
        <v/>
      </c>
      <c r="BL70" s="215" t="str">
        <f t="shared" si="43"/>
        <v/>
      </c>
      <c r="BM70" s="215" t="str">
        <f t="shared" si="44"/>
        <v/>
      </c>
      <c r="BN70" s="215" t="str">
        <f t="shared" si="45"/>
        <v/>
      </c>
      <c r="BO70" s="215" t="str">
        <f t="shared" si="46"/>
        <v/>
      </c>
      <c r="BP70" s="215" t="str">
        <f t="shared" si="47"/>
        <v/>
      </c>
      <c r="BQ70" s="215" t="str">
        <f t="shared" si="48"/>
        <v/>
      </c>
      <c r="BR70" s="215" t="str">
        <f t="shared" si="49"/>
        <v/>
      </c>
      <c r="BS70" s="215" t="str">
        <f t="shared" si="50"/>
        <v/>
      </c>
      <c r="BT70" s="215" t="str">
        <f t="shared" si="51"/>
        <v/>
      </c>
      <c r="BU70" s="211" t="str">
        <f t="shared" si="52"/>
        <v/>
      </c>
      <c r="BV70" s="212" t="str">
        <f t="shared" si="53"/>
        <v/>
      </c>
      <c r="BW70" s="215" t="s">
        <v>188</v>
      </c>
      <c r="BX70" s="215">
        <f>BD66</f>
        <v>0</v>
      </c>
      <c r="BY70" s="1"/>
      <c r="BZ70" s="1"/>
      <c r="CA70" s="1"/>
      <c r="CB70" s="1"/>
      <c r="CC70" s="1"/>
      <c r="CD70" s="1"/>
      <c r="CE70" s="1"/>
      <c r="CF70" s="1"/>
      <c r="CG70" s="1"/>
      <c r="CH70" s="1"/>
      <c r="CI70" s="1"/>
      <c r="CJ70" s="1"/>
      <c r="CK70" s="1"/>
      <c r="CL70" s="1"/>
      <c r="CM70" s="1"/>
      <c r="CN70" s="1"/>
      <c r="CO70" s="1"/>
      <c r="CP70" s="1"/>
      <c r="CQ70" s="1"/>
      <c r="CR70" s="1"/>
    </row>
    <row r="71" ht="14.25" customHeight="1">
      <c r="A71" s="176"/>
      <c r="B71" s="221">
        <v>4.0</v>
      </c>
      <c r="C71" s="376" t="str">
        <f t="shared" si="14"/>
        <v/>
      </c>
      <c r="D71" s="352" t="str">
        <f t="shared" si="15"/>
        <v/>
      </c>
      <c r="E71" s="377" t="str">
        <f t="shared" si="16"/>
        <v/>
      </c>
      <c r="F71" s="222"/>
      <c r="G71" s="43"/>
      <c r="H71" s="354" t="str">
        <f t="shared" si="17"/>
        <v/>
      </c>
      <c r="I71" s="355" t="str">
        <f t="shared" si="18"/>
        <v/>
      </c>
      <c r="J71" s="356" t="str">
        <f>IFERROR(IF(F71="","",VLOOKUP(F71,'10. Condition and Temporal'!$B$6:$F$103,5,FALSE)), "Error ▲")</f>
        <v/>
      </c>
      <c r="K71" s="43"/>
      <c r="L71" s="357" t="str">
        <f t="shared" si="19"/>
        <v/>
      </c>
      <c r="M71" s="358" t="str">
        <f t="shared" si="20"/>
        <v/>
      </c>
      <c r="N71" s="359"/>
      <c r="O71" s="378"/>
      <c r="P71" s="300"/>
      <c r="Q71" s="1"/>
      <c r="R71" s="161"/>
      <c r="S71" s="1"/>
      <c r="T71" s="361" t="str">
        <f t="shared" si="21"/>
        <v/>
      </c>
      <c r="U71" s="379" t="str">
        <f t="shared" si="22"/>
        <v/>
      </c>
      <c r="V71" s="211" t="str">
        <f t="shared" ref="V71:X71" si="55">IF($D71="","",V14)</f>
        <v/>
      </c>
      <c r="W71" s="214" t="str">
        <f t="shared" si="55"/>
        <v/>
      </c>
      <c r="X71" s="211" t="str">
        <f t="shared" si="55"/>
        <v/>
      </c>
      <c r="Y71" s="364"/>
      <c r="Z71" s="365"/>
      <c r="AA71" s="366"/>
      <c r="AB71" s="214" t="str">
        <f t="shared" si="24"/>
        <v/>
      </c>
      <c r="AC71" s="380" t="str">
        <f t="shared" si="25"/>
        <v/>
      </c>
      <c r="AD71" s="361" t="str">
        <f t="shared" si="26"/>
        <v/>
      </c>
      <c r="AE71" s="361" t="str">
        <f t="shared" si="27"/>
        <v/>
      </c>
      <c r="AF71" s="219" t="str">
        <f t="shared" si="28"/>
        <v/>
      </c>
      <c r="AG71" s="379" t="str">
        <f>IF(D71="","",VLOOKUP(F71,'9. All Habitats + Multipliers'!$C$4:$K$102,5,FALSE))</f>
        <v/>
      </c>
      <c r="AH71" s="381" t="str">
        <f>IF(AG71="","",VLOOKUP(AG71,'11. Lists'!$B$47:$D$49,2,FALSE))</f>
        <v/>
      </c>
      <c r="AI71" s="214" t="str">
        <f t="shared" si="29"/>
        <v/>
      </c>
      <c r="AJ71" s="211" t="str">
        <f>IF(AI71="","",VLOOKUP(AI71,'11. Lists'!$F$47:$G$51,2,FALSE))</f>
        <v/>
      </c>
      <c r="AK71" s="364"/>
      <c r="AL71" s="365"/>
      <c r="AM71" s="366"/>
      <c r="AN71" s="214" t="str">
        <f t="shared" si="30"/>
        <v/>
      </c>
      <c r="AO71" s="215" t="str">
        <f>IF(AN71="","",VLOOKUP(AN71,'11. Lists'!$F$36:$H$38,2,FALSE))</f>
        <v/>
      </c>
      <c r="AP71" s="211" t="str">
        <f>IF(AN71="","",VLOOKUP(AN71,'11. Lists'!$F$36:$H$38,3,FALSE))</f>
        <v/>
      </c>
      <c r="AQ71" s="379" t="str">
        <f>IF(D71="","",IF(AX71="Distinctiveness","N/A",VLOOKUP(F71,'10. Condition and Temporal'!$B$6:$L$103,11,FALSE)))</f>
        <v/>
      </c>
      <c r="AR71" s="382" t="str">
        <f>IF(AQ71="","",IF(AQ71="N/A","1",VLOOKUP(AQ71,'11. Lists'!$I$47:$K$80,3,FALSE)))</f>
        <v/>
      </c>
      <c r="AS71" s="383" t="str">
        <f>IF(D71="","",IF(AX71="Condition","N/A",VLOOKUP(F71,'10. Condition and Temporal'!$B$6:$M$106,12,FALSE)))</f>
        <v/>
      </c>
      <c r="AT71" s="382" t="str">
        <f>IF(AS71="","",IF(AS71="N/A","1",VLOOKUP(AS71,'11. Lists'!$I$47:$K$80,3,FALSE)))</f>
        <v/>
      </c>
      <c r="AU71" s="379" t="str">
        <f>IF(D71="","",VLOOKUP(F71,'9. All Habitats + Multipliers'!$C$4:$K$102,8,FALSE))</f>
        <v/>
      </c>
      <c r="AV71" s="380" t="str">
        <f>IF(AU71="","",VLOOKUP(AU71,'11. Lists'!$J$35:$K$38,2,FALSE))</f>
        <v/>
      </c>
      <c r="AW71" s="361" t="str">
        <f>IF(D71="","",VLOOKUP(D71,'10. Condition and Temporal'!$B$6:$M$103,4,FALSE))</f>
        <v/>
      </c>
      <c r="AX71" s="361" t="str">
        <f t="shared" si="31"/>
        <v/>
      </c>
      <c r="AY71" s="384" t="str">
        <f t="shared" si="32"/>
        <v/>
      </c>
      <c r="AZ71" s="1"/>
      <c r="BA71" s="214">
        <v>4.0</v>
      </c>
      <c r="BB71" s="215" t="str">
        <f t="shared" si="33"/>
        <v/>
      </c>
      <c r="BC71" s="215" t="str">
        <f t="shared" si="34"/>
        <v/>
      </c>
      <c r="BD71" s="215" t="str">
        <f t="shared" si="35"/>
        <v/>
      </c>
      <c r="BE71" s="215" t="str">
        <f t="shared" si="36"/>
        <v/>
      </c>
      <c r="BF71" s="215" t="str">
        <f t="shared" si="37"/>
        <v/>
      </c>
      <c r="BG71" s="215" t="str">
        <f t="shared" si="38"/>
        <v/>
      </c>
      <c r="BH71" s="215" t="str">
        <f t="shared" si="39"/>
        <v/>
      </c>
      <c r="BI71" s="215" t="str">
        <f t="shared" si="40"/>
        <v/>
      </c>
      <c r="BJ71" s="215" t="str">
        <f t="shared" si="41"/>
        <v/>
      </c>
      <c r="BK71" s="215" t="str">
        <f t="shared" si="42"/>
        <v/>
      </c>
      <c r="BL71" s="215" t="str">
        <f t="shared" si="43"/>
        <v/>
      </c>
      <c r="BM71" s="215" t="str">
        <f t="shared" si="44"/>
        <v/>
      </c>
      <c r="BN71" s="215" t="str">
        <f t="shared" si="45"/>
        <v/>
      </c>
      <c r="BO71" s="215" t="str">
        <f t="shared" si="46"/>
        <v/>
      </c>
      <c r="BP71" s="215" t="str">
        <f t="shared" si="47"/>
        <v/>
      </c>
      <c r="BQ71" s="215" t="str">
        <f t="shared" si="48"/>
        <v/>
      </c>
      <c r="BR71" s="215" t="str">
        <f t="shared" si="49"/>
        <v/>
      </c>
      <c r="BS71" s="215" t="str">
        <f t="shared" si="50"/>
        <v/>
      </c>
      <c r="BT71" s="215" t="str">
        <f t="shared" si="51"/>
        <v/>
      </c>
      <c r="BU71" s="211" t="str">
        <f t="shared" si="52"/>
        <v/>
      </c>
      <c r="BV71" s="212" t="str">
        <f t="shared" si="53"/>
        <v/>
      </c>
      <c r="BW71" s="215" t="s">
        <v>189</v>
      </c>
      <c r="BX71" s="215">
        <f>BE66</f>
        <v>0</v>
      </c>
      <c r="BY71" s="1"/>
      <c r="BZ71" s="1"/>
      <c r="CA71" s="1"/>
      <c r="CB71" s="1"/>
      <c r="CC71" s="1"/>
      <c r="CD71" s="1"/>
      <c r="CE71" s="1"/>
      <c r="CF71" s="1"/>
      <c r="CG71" s="1"/>
      <c r="CH71" s="1"/>
      <c r="CI71" s="1"/>
      <c r="CJ71" s="1"/>
      <c r="CK71" s="1"/>
      <c r="CL71" s="1"/>
      <c r="CM71" s="1"/>
      <c r="CN71" s="1"/>
      <c r="CO71" s="1"/>
      <c r="CP71" s="1"/>
      <c r="CQ71" s="1"/>
      <c r="CR71" s="1"/>
    </row>
    <row r="72" ht="14.25" customHeight="1">
      <c r="A72" s="176"/>
      <c r="B72" s="221">
        <v>5.0</v>
      </c>
      <c r="C72" s="376" t="str">
        <f t="shared" si="14"/>
        <v/>
      </c>
      <c r="D72" s="352" t="str">
        <f t="shared" si="15"/>
        <v/>
      </c>
      <c r="E72" s="377" t="str">
        <f t="shared" si="16"/>
        <v/>
      </c>
      <c r="F72" s="222"/>
      <c r="G72" s="43"/>
      <c r="H72" s="354" t="str">
        <f t="shared" si="17"/>
        <v/>
      </c>
      <c r="I72" s="355" t="str">
        <f t="shared" si="18"/>
        <v/>
      </c>
      <c r="J72" s="356" t="str">
        <f>IFERROR(IF(F72="","",VLOOKUP(F72,'10. Condition and Temporal'!$B$6:$F$103,5,FALSE)), "Error ▲")</f>
        <v/>
      </c>
      <c r="K72" s="43"/>
      <c r="L72" s="357" t="str">
        <f t="shared" si="19"/>
        <v/>
      </c>
      <c r="M72" s="358" t="str">
        <f t="shared" si="20"/>
        <v/>
      </c>
      <c r="N72" s="359"/>
      <c r="O72" s="378"/>
      <c r="P72" s="300"/>
      <c r="Q72" s="1"/>
      <c r="R72" s="161"/>
      <c r="S72" s="1"/>
      <c r="T72" s="361" t="str">
        <f t="shared" si="21"/>
        <v/>
      </c>
      <c r="U72" s="379" t="str">
        <f t="shared" si="22"/>
        <v/>
      </c>
      <c r="V72" s="211" t="str">
        <f t="shared" ref="V72:X72" si="56">IF($D72="","",V15)</f>
        <v/>
      </c>
      <c r="W72" s="214" t="str">
        <f t="shared" si="56"/>
        <v/>
      </c>
      <c r="X72" s="211" t="str">
        <f t="shared" si="56"/>
        <v/>
      </c>
      <c r="Y72" s="364"/>
      <c r="Z72" s="365"/>
      <c r="AA72" s="366"/>
      <c r="AB72" s="214" t="str">
        <f t="shared" si="24"/>
        <v/>
      </c>
      <c r="AC72" s="380" t="str">
        <f t="shared" si="25"/>
        <v/>
      </c>
      <c r="AD72" s="361" t="str">
        <f t="shared" si="26"/>
        <v/>
      </c>
      <c r="AE72" s="361" t="str">
        <f t="shared" si="27"/>
        <v/>
      </c>
      <c r="AF72" s="219" t="str">
        <f t="shared" si="28"/>
        <v/>
      </c>
      <c r="AG72" s="379" t="str">
        <f>IF(D72="","",VLOOKUP(F72,'9. All Habitats + Multipliers'!$C$4:$K$102,5,FALSE))</f>
        <v/>
      </c>
      <c r="AH72" s="381" t="str">
        <f>IF(AG72="","",VLOOKUP(AG72,'11. Lists'!$B$47:$D$49,2,FALSE))</f>
        <v/>
      </c>
      <c r="AI72" s="214" t="str">
        <f t="shared" si="29"/>
        <v/>
      </c>
      <c r="AJ72" s="211" t="str">
        <f>IF(AI72="","",VLOOKUP(AI72,'11. Lists'!$F$47:$G$51,2,FALSE))</f>
        <v/>
      </c>
      <c r="AK72" s="364"/>
      <c r="AL72" s="365"/>
      <c r="AM72" s="366"/>
      <c r="AN72" s="214" t="str">
        <f t="shared" si="30"/>
        <v/>
      </c>
      <c r="AO72" s="215" t="str">
        <f>IF(AN72="","",VLOOKUP(AN72,'11. Lists'!$F$36:$H$38,2,FALSE))</f>
        <v/>
      </c>
      <c r="AP72" s="211" t="str">
        <f>IF(AN72="","",VLOOKUP(AN72,'11. Lists'!$F$36:$H$38,3,FALSE))</f>
        <v/>
      </c>
      <c r="AQ72" s="379" t="str">
        <f>IF(D72="","",IF(AX72="Distinctiveness","N/A",VLOOKUP(F72,'10. Condition and Temporal'!$B$6:$L$103,11,FALSE)))</f>
        <v/>
      </c>
      <c r="AR72" s="382" t="str">
        <f>IF(AQ72="","",IF(AQ72="N/A","1",VLOOKUP(AQ72,'11. Lists'!$I$47:$K$80,3,FALSE)))</f>
        <v/>
      </c>
      <c r="AS72" s="383" t="str">
        <f>IF(D72="","",IF(AX72="Condition","N/A",VLOOKUP(F72,'10. Condition and Temporal'!$B$6:$M$106,12,FALSE)))</f>
        <v/>
      </c>
      <c r="AT72" s="382" t="str">
        <f>IF(AS72="","",IF(AS72="N/A","1",VLOOKUP(AS72,'11. Lists'!$I$47:$K$80,3,FALSE)))</f>
        <v/>
      </c>
      <c r="AU72" s="379" t="str">
        <f>IF(D72="","",VLOOKUP(F72,'9. All Habitats + Multipliers'!$C$4:$K$102,8,FALSE))</f>
        <v/>
      </c>
      <c r="AV72" s="380" t="str">
        <f>IF(AU72="","",VLOOKUP(AU72,'11. Lists'!$J$35:$K$38,2,FALSE))</f>
        <v/>
      </c>
      <c r="AW72" s="361" t="str">
        <f>IF(D72="","",VLOOKUP(D72,'10. Condition and Temporal'!$B$6:$M$103,4,FALSE))</f>
        <v/>
      </c>
      <c r="AX72" s="361" t="str">
        <f t="shared" si="31"/>
        <v/>
      </c>
      <c r="AY72" s="384" t="str">
        <f t="shared" si="32"/>
        <v/>
      </c>
      <c r="AZ72" s="1"/>
      <c r="BA72" s="214">
        <v>5.0</v>
      </c>
      <c r="BB72" s="215" t="str">
        <f t="shared" si="33"/>
        <v/>
      </c>
      <c r="BC72" s="215" t="str">
        <f t="shared" si="34"/>
        <v/>
      </c>
      <c r="BD72" s="215" t="str">
        <f t="shared" si="35"/>
        <v/>
      </c>
      <c r="BE72" s="215" t="str">
        <f t="shared" si="36"/>
        <v/>
      </c>
      <c r="BF72" s="215" t="str">
        <f t="shared" si="37"/>
        <v/>
      </c>
      <c r="BG72" s="215" t="str">
        <f t="shared" si="38"/>
        <v/>
      </c>
      <c r="BH72" s="215" t="str">
        <f t="shared" si="39"/>
        <v/>
      </c>
      <c r="BI72" s="215" t="str">
        <f t="shared" si="40"/>
        <v/>
      </c>
      <c r="BJ72" s="215" t="str">
        <f t="shared" si="41"/>
        <v/>
      </c>
      <c r="BK72" s="215" t="str">
        <f t="shared" si="42"/>
        <v/>
      </c>
      <c r="BL72" s="215" t="str">
        <f t="shared" si="43"/>
        <v/>
      </c>
      <c r="BM72" s="215" t="str">
        <f t="shared" si="44"/>
        <v/>
      </c>
      <c r="BN72" s="215" t="str">
        <f t="shared" si="45"/>
        <v/>
      </c>
      <c r="BO72" s="215" t="str">
        <f t="shared" si="46"/>
        <v/>
      </c>
      <c r="BP72" s="215" t="str">
        <f t="shared" si="47"/>
        <v/>
      </c>
      <c r="BQ72" s="215" t="str">
        <f t="shared" si="48"/>
        <v/>
      </c>
      <c r="BR72" s="215" t="str">
        <f t="shared" si="49"/>
        <v/>
      </c>
      <c r="BS72" s="215" t="str">
        <f t="shared" si="50"/>
        <v/>
      </c>
      <c r="BT72" s="215" t="str">
        <f t="shared" si="51"/>
        <v/>
      </c>
      <c r="BU72" s="211" t="str">
        <f t="shared" si="52"/>
        <v/>
      </c>
      <c r="BV72" s="212" t="str">
        <f t="shared" si="53"/>
        <v/>
      </c>
      <c r="BW72" s="215" t="s">
        <v>190</v>
      </c>
      <c r="BX72" s="215">
        <f>BF66</f>
        <v>0</v>
      </c>
      <c r="BY72" s="1"/>
      <c r="BZ72" s="1"/>
      <c r="CA72" s="1"/>
      <c r="CB72" s="1"/>
      <c r="CC72" s="1"/>
      <c r="CD72" s="1"/>
      <c r="CE72" s="1"/>
      <c r="CF72" s="1"/>
      <c r="CG72" s="1"/>
      <c r="CH72" s="1"/>
      <c r="CI72" s="1"/>
      <c r="CJ72" s="1"/>
      <c r="CK72" s="1"/>
      <c r="CL72" s="1"/>
      <c r="CM72" s="1"/>
      <c r="CN72" s="1"/>
      <c r="CO72" s="1"/>
      <c r="CP72" s="1"/>
      <c r="CQ72" s="1"/>
      <c r="CR72" s="1"/>
    </row>
    <row r="73" ht="14.25" customHeight="1">
      <c r="A73" s="176"/>
      <c r="B73" s="221">
        <v>6.0</v>
      </c>
      <c r="C73" s="376" t="str">
        <f t="shared" si="14"/>
        <v/>
      </c>
      <c r="D73" s="352" t="str">
        <f t="shared" si="15"/>
        <v/>
      </c>
      <c r="E73" s="377" t="str">
        <f t="shared" si="16"/>
        <v/>
      </c>
      <c r="F73" s="222"/>
      <c r="G73" s="43"/>
      <c r="H73" s="354" t="str">
        <f t="shared" si="17"/>
        <v/>
      </c>
      <c r="I73" s="355" t="str">
        <f t="shared" si="18"/>
        <v/>
      </c>
      <c r="J73" s="356" t="str">
        <f>IFERROR(IF(F73="","",VLOOKUP(F73,'10. Condition and Temporal'!$B$6:$F$103,5,FALSE)), "Error ▲")</f>
        <v/>
      </c>
      <c r="K73" s="43"/>
      <c r="L73" s="357" t="str">
        <f t="shared" si="19"/>
        <v/>
      </c>
      <c r="M73" s="358" t="str">
        <f t="shared" si="20"/>
        <v/>
      </c>
      <c r="N73" s="359"/>
      <c r="O73" s="378"/>
      <c r="P73" s="300"/>
      <c r="Q73" s="1"/>
      <c r="R73" s="161"/>
      <c r="S73" s="1"/>
      <c r="T73" s="361" t="str">
        <f t="shared" si="21"/>
        <v/>
      </c>
      <c r="U73" s="379" t="str">
        <f t="shared" si="22"/>
        <v/>
      </c>
      <c r="V73" s="211" t="str">
        <f t="shared" ref="V73:X73" si="57">IF($D73="","",V16)</f>
        <v/>
      </c>
      <c r="W73" s="214" t="str">
        <f t="shared" si="57"/>
        <v/>
      </c>
      <c r="X73" s="211" t="str">
        <f t="shared" si="57"/>
        <v/>
      </c>
      <c r="Y73" s="364"/>
      <c r="Z73" s="365"/>
      <c r="AA73" s="366"/>
      <c r="AB73" s="214" t="str">
        <f t="shared" si="24"/>
        <v/>
      </c>
      <c r="AC73" s="380" t="str">
        <f t="shared" si="25"/>
        <v/>
      </c>
      <c r="AD73" s="361" t="str">
        <f t="shared" si="26"/>
        <v/>
      </c>
      <c r="AE73" s="361" t="str">
        <f t="shared" si="27"/>
        <v/>
      </c>
      <c r="AF73" s="219" t="str">
        <f t="shared" si="28"/>
        <v/>
      </c>
      <c r="AG73" s="379" t="str">
        <f>IF(D73="","",VLOOKUP(F73,'9. All Habitats + Multipliers'!$C$4:$K$102,5,FALSE))</f>
        <v/>
      </c>
      <c r="AH73" s="381" t="str">
        <f>IF(AG73="","",VLOOKUP(AG73,'11. Lists'!$B$47:$D$49,2,FALSE))</f>
        <v/>
      </c>
      <c r="AI73" s="214" t="str">
        <f t="shared" si="29"/>
        <v/>
      </c>
      <c r="AJ73" s="211" t="str">
        <f>IF(AI73="","",VLOOKUP(AI73,'11. Lists'!$F$47:$G$51,2,FALSE))</f>
        <v/>
      </c>
      <c r="AK73" s="364"/>
      <c r="AL73" s="365"/>
      <c r="AM73" s="366"/>
      <c r="AN73" s="214" t="str">
        <f t="shared" si="30"/>
        <v/>
      </c>
      <c r="AO73" s="215" t="str">
        <f>IF(AN73="","",VLOOKUP(AN73,'11. Lists'!$F$36:$H$38,2,FALSE))</f>
        <v/>
      </c>
      <c r="AP73" s="211" t="str">
        <f>IF(AN73="","",VLOOKUP(AN73,'11. Lists'!$F$36:$H$38,3,FALSE))</f>
        <v/>
      </c>
      <c r="AQ73" s="379" t="str">
        <f>IF(D73="","",IF(AX73="Distinctiveness","N/A",VLOOKUP(F73,'10. Condition and Temporal'!$B$6:$L$103,11,FALSE)))</f>
        <v/>
      </c>
      <c r="AR73" s="382" t="str">
        <f>IF(AQ73="","",IF(AQ73="N/A","1",VLOOKUP(AQ73,'11. Lists'!$I$47:$K$80,3,FALSE)))</f>
        <v/>
      </c>
      <c r="AS73" s="383" t="str">
        <f>IF(D73="","",IF(AX73="Condition","N/A",VLOOKUP(F73,'10. Condition and Temporal'!$B$6:$M$106,12,FALSE)))</f>
        <v/>
      </c>
      <c r="AT73" s="382" t="str">
        <f>IF(AS73="","",IF(AS73="N/A","1",VLOOKUP(AS73,'11. Lists'!$I$47:$K$80,3,FALSE)))</f>
        <v/>
      </c>
      <c r="AU73" s="379" t="str">
        <f>IF(D73="","",VLOOKUP(F73,'9. All Habitats + Multipliers'!$C$4:$K$102,8,FALSE))</f>
        <v/>
      </c>
      <c r="AV73" s="380" t="str">
        <f>IF(AU73="","",VLOOKUP(AU73,'11. Lists'!$J$35:$K$38,2,FALSE))</f>
        <v/>
      </c>
      <c r="AW73" s="361" t="str">
        <f>IF(D73="","",VLOOKUP(D73,'10. Condition and Temporal'!$B$6:$M$103,4,FALSE))</f>
        <v/>
      </c>
      <c r="AX73" s="361" t="str">
        <f t="shared" si="31"/>
        <v/>
      </c>
      <c r="AY73" s="384" t="str">
        <f t="shared" si="32"/>
        <v/>
      </c>
      <c r="AZ73" s="1"/>
      <c r="BA73" s="214">
        <v>6.0</v>
      </c>
      <c r="BB73" s="215" t="str">
        <f t="shared" si="33"/>
        <v/>
      </c>
      <c r="BC73" s="215" t="str">
        <f t="shared" si="34"/>
        <v/>
      </c>
      <c r="BD73" s="215" t="str">
        <f t="shared" si="35"/>
        <v/>
      </c>
      <c r="BE73" s="215" t="str">
        <f t="shared" si="36"/>
        <v/>
      </c>
      <c r="BF73" s="215" t="str">
        <f t="shared" si="37"/>
        <v/>
      </c>
      <c r="BG73" s="215" t="str">
        <f t="shared" si="38"/>
        <v/>
      </c>
      <c r="BH73" s="215" t="str">
        <f t="shared" si="39"/>
        <v/>
      </c>
      <c r="BI73" s="215" t="str">
        <f t="shared" si="40"/>
        <v/>
      </c>
      <c r="BJ73" s="215" t="str">
        <f t="shared" si="41"/>
        <v/>
      </c>
      <c r="BK73" s="215" t="str">
        <f t="shared" si="42"/>
        <v/>
      </c>
      <c r="BL73" s="215" t="str">
        <f t="shared" si="43"/>
        <v/>
      </c>
      <c r="BM73" s="215" t="str">
        <f t="shared" si="44"/>
        <v/>
      </c>
      <c r="BN73" s="215" t="str">
        <f t="shared" si="45"/>
        <v/>
      </c>
      <c r="BO73" s="215" t="str">
        <f t="shared" si="46"/>
        <v/>
      </c>
      <c r="BP73" s="215" t="str">
        <f t="shared" si="47"/>
        <v/>
      </c>
      <c r="BQ73" s="215" t="str">
        <f t="shared" si="48"/>
        <v/>
      </c>
      <c r="BR73" s="215" t="str">
        <f t="shared" si="49"/>
        <v/>
      </c>
      <c r="BS73" s="215" t="str">
        <f t="shared" si="50"/>
        <v/>
      </c>
      <c r="BT73" s="215" t="str">
        <f t="shared" si="51"/>
        <v/>
      </c>
      <c r="BU73" s="211" t="str">
        <f t="shared" si="52"/>
        <v/>
      </c>
      <c r="BV73" s="212" t="str">
        <f t="shared" si="53"/>
        <v/>
      </c>
      <c r="BW73" s="215" t="s">
        <v>191</v>
      </c>
      <c r="BX73" s="215">
        <f>BG66</f>
        <v>0</v>
      </c>
      <c r="BY73" s="1"/>
      <c r="BZ73" s="1"/>
      <c r="CA73" s="1"/>
      <c r="CB73" s="1"/>
      <c r="CC73" s="1"/>
      <c r="CD73" s="1"/>
      <c r="CE73" s="1"/>
      <c r="CF73" s="1"/>
      <c r="CG73" s="1"/>
      <c r="CH73" s="1"/>
      <c r="CI73" s="1"/>
      <c r="CJ73" s="1"/>
      <c r="CK73" s="1"/>
      <c r="CL73" s="1"/>
      <c r="CM73" s="1"/>
      <c r="CN73" s="1"/>
      <c r="CO73" s="1"/>
      <c r="CP73" s="1"/>
      <c r="CQ73" s="1"/>
      <c r="CR73" s="1"/>
    </row>
    <row r="74" ht="14.25" customHeight="1">
      <c r="A74" s="176"/>
      <c r="B74" s="221">
        <v>7.0</v>
      </c>
      <c r="C74" s="376" t="str">
        <f t="shared" si="14"/>
        <v/>
      </c>
      <c r="D74" s="352" t="str">
        <f t="shared" si="15"/>
        <v/>
      </c>
      <c r="E74" s="377" t="str">
        <f t="shared" si="16"/>
        <v/>
      </c>
      <c r="F74" s="222"/>
      <c r="G74" s="43"/>
      <c r="H74" s="354" t="str">
        <f t="shared" si="17"/>
        <v/>
      </c>
      <c r="I74" s="355" t="str">
        <f t="shared" si="18"/>
        <v/>
      </c>
      <c r="J74" s="356" t="str">
        <f>IFERROR(IF(F74="","",VLOOKUP(F74,'10. Condition and Temporal'!$B$6:$F$103,5,FALSE)), "Error ▲")</f>
        <v/>
      </c>
      <c r="K74" s="43"/>
      <c r="L74" s="357" t="str">
        <f t="shared" si="19"/>
        <v/>
      </c>
      <c r="M74" s="358" t="str">
        <f t="shared" si="20"/>
        <v/>
      </c>
      <c r="N74" s="359"/>
      <c r="O74" s="378"/>
      <c r="P74" s="300"/>
      <c r="Q74" s="1"/>
      <c r="R74" s="161"/>
      <c r="S74" s="1"/>
      <c r="T74" s="361" t="str">
        <f t="shared" si="21"/>
        <v/>
      </c>
      <c r="U74" s="379" t="str">
        <f t="shared" si="22"/>
        <v/>
      </c>
      <c r="V74" s="211" t="str">
        <f t="shared" ref="V74:X74" si="58">IF($D74="","",V17)</f>
        <v/>
      </c>
      <c r="W74" s="214" t="str">
        <f t="shared" si="58"/>
        <v/>
      </c>
      <c r="X74" s="211" t="str">
        <f t="shared" si="58"/>
        <v/>
      </c>
      <c r="Y74" s="364"/>
      <c r="Z74" s="365"/>
      <c r="AA74" s="366"/>
      <c r="AB74" s="214" t="str">
        <f t="shared" si="24"/>
        <v/>
      </c>
      <c r="AC74" s="380" t="str">
        <f t="shared" si="25"/>
        <v/>
      </c>
      <c r="AD74" s="361" t="str">
        <f t="shared" si="26"/>
        <v/>
      </c>
      <c r="AE74" s="361" t="str">
        <f t="shared" si="27"/>
        <v/>
      </c>
      <c r="AF74" s="219" t="str">
        <f t="shared" si="28"/>
        <v/>
      </c>
      <c r="AG74" s="379" t="str">
        <f>IF(D74="","",VLOOKUP(F74,'9. All Habitats + Multipliers'!$C$4:$K$102,5,FALSE))</f>
        <v/>
      </c>
      <c r="AH74" s="381" t="str">
        <f>IF(AG74="","",VLOOKUP(AG74,'11. Lists'!$B$47:$D$49,2,FALSE))</f>
        <v/>
      </c>
      <c r="AI74" s="214" t="str">
        <f t="shared" si="29"/>
        <v/>
      </c>
      <c r="AJ74" s="211" t="str">
        <f>IF(AI74="","",VLOOKUP(AI74,'11. Lists'!$F$47:$G$51,2,FALSE))</f>
        <v/>
      </c>
      <c r="AK74" s="364"/>
      <c r="AL74" s="365"/>
      <c r="AM74" s="366"/>
      <c r="AN74" s="214" t="str">
        <f t="shared" si="30"/>
        <v/>
      </c>
      <c r="AO74" s="215" t="str">
        <f>IF(AN74="","",VLOOKUP(AN74,'11. Lists'!$F$36:$H$38,2,FALSE))</f>
        <v/>
      </c>
      <c r="AP74" s="211" t="str">
        <f>IF(AN74="","",VLOOKUP(AN74,'11. Lists'!$F$36:$H$38,3,FALSE))</f>
        <v/>
      </c>
      <c r="AQ74" s="379" t="str">
        <f>IF(D74="","",IF(AX74="Distinctiveness","N/A",VLOOKUP(F74,'10. Condition and Temporal'!$B$6:$L$103,11,FALSE)))</f>
        <v/>
      </c>
      <c r="AR74" s="382" t="str">
        <f>IF(AQ74="","",IF(AQ74="N/A","1",VLOOKUP(AQ74,'11. Lists'!$I$47:$K$80,3,FALSE)))</f>
        <v/>
      </c>
      <c r="AS74" s="383" t="str">
        <f>IF(D74="","",IF(AX74="Condition","N/A",VLOOKUP(F74,'10. Condition and Temporal'!$B$6:$M$106,12,FALSE)))</f>
        <v/>
      </c>
      <c r="AT74" s="382" t="str">
        <f>IF(AS74="","",IF(AS74="N/A","1",VLOOKUP(AS74,'11. Lists'!$I$47:$K$80,3,FALSE)))</f>
        <v/>
      </c>
      <c r="AU74" s="379" t="str">
        <f>IF(D74="","",VLOOKUP(F74,'9. All Habitats + Multipliers'!$C$4:$K$102,8,FALSE))</f>
        <v/>
      </c>
      <c r="AV74" s="380" t="str">
        <f>IF(AU74="","",VLOOKUP(AU74,'11. Lists'!$J$35:$K$38,2,FALSE))</f>
        <v/>
      </c>
      <c r="AW74" s="361" t="str">
        <f>IF(D74="","",VLOOKUP(D74,'10. Condition and Temporal'!$B$6:$M$103,4,FALSE))</f>
        <v/>
      </c>
      <c r="AX74" s="361" t="str">
        <f t="shared" si="31"/>
        <v/>
      </c>
      <c r="AY74" s="384" t="str">
        <f t="shared" si="32"/>
        <v/>
      </c>
      <c r="AZ74" s="1"/>
      <c r="BA74" s="214">
        <v>7.0</v>
      </c>
      <c r="BB74" s="215" t="str">
        <f t="shared" si="33"/>
        <v/>
      </c>
      <c r="BC74" s="215" t="str">
        <f t="shared" si="34"/>
        <v/>
      </c>
      <c r="BD74" s="215" t="str">
        <f t="shared" si="35"/>
        <v/>
      </c>
      <c r="BE74" s="215" t="str">
        <f t="shared" si="36"/>
        <v/>
      </c>
      <c r="BF74" s="215" t="str">
        <f t="shared" si="37"/>
        <v/>
      </c>
      <c r="BG74" s="215" t="str">
        <f t="shared" si="38"/>
        <v/>
      </c>
      <c r="BH74" s="215" t="str">
        <f t="shared" si="39"/>
        <v/>
      </c>
      <c r="BI74" s="215" t="str">
        <f t="shared" si="40"/>
        <v/>
      </c>
      <c r="BJ74" s="215" t="str">
        <f t="shared" si="41"/>
        <v/>
      </c>
      <c r="BK74" s="215" t="str">
        <f t="shared" si="42"/>
        <v/>
      </c>
      <c r="BL74" s="215" t="str">
        <f t="shared" si="43"/>
        <v/>
      </c>
      <c r="BM74" s="215" t="str">
        <f t="shared" si="44"/>
        <v/>
      </c>
      <c r="BN74" s="215" t="str">
        <f t="shared" si="45"/>
        <v/>
      </c>
      <c r="BO74" s="215" t="str">
        <f t="shared" si="46"/>
        <v/>
      </c>
      <c r="BP74" s="215" t="str">
        <f t="shared" si="47"/>
        <v/>
      </c>
      <c r="BQ74" s="215" t="str">
        <f t="shared" si="48"/>
        <v/>
      </c>
      <c r="BR74" s="215" t="str">
        <f t="shared" si="49"/>
        <v/>
      </c>
      <c r="BS74" s="215" t="str">
        <f t="shared" si="50"/>
        <v/>
      </c>
      <c r="BT74" s="215" t="str">
        <f t="shared" si="51"/>
        <v/>
      </c>
      <c r="BU74" s="211" t="str">
        <f t="shared" si="52"/>
        <v/>
      </c>
      <c r="BV74" s="212" t="str">
        <f t="shared" si="53"/>
        <v/>
      </c>
      <c r="BW74" s="215" t="s">
        <v>192</v>
      </c>
      <c r="BX74" s="215">
        <f>BH66</f>
        <v>0</v>
      </c>
      <c r="BY74" s="1"/>
      <c r="BZ74" s="1"/>
      <c r="CA74" s="1"/>
      <c r="CB74" s="1"/>
      <c r="CC74" s="1"/>
      <c r="CD74" s="1"/>
      <c r="CE74" s="1"/>
      <c r="CF74" s="1"/>
      <c r="CG74" s="1"/>
      <c r="CH74" s="1"/>
      <c r="CI74" s="1"/>
      <c r="CJ74" s="1"/>
      <c r="CK74" s="1"/>
      <c r="CL74" s="1"/>
      <c r="CM74" s="1"/>
      <c r="CN74" s="1"/>
      <c r="CO74" s="1"/>
      <c r="CP74" s="1"/>
      <c r="CQ74" s="1"/>
      <c r="CR74" s="1"/>
    </row>
    <row r="75" ht="14.25" customHeight="1">
      <c r="A75" s="176"/>
      <c r="B75" s="221">
        <v>8.0</v>
      </c>
      <c r="C75" s="376" t="str">
        <f t="shared" si="14"/>
        <v/>
      </c>
      <c r="D75" s="352" t="str">
        <f t="shared" si="15"/>
        <v/>
      </c>
      <c r="E75" s="377" t="str">
        <f t="shared" si="16"/>
        <v/>
      </c>
      <c r="F75" s="222"/>
      <c r="G75" s="43"/>
      <c r="H75" s="354" t="str">
        <f t="shared" si="17"/>
        <v/>
      </c>
      <c r="I75" s="355" t="str">
        <f t="shared" si="18"/>
        <v/>
      </c>
      <c r="J75" s="356" t="str">
        <f>IFERROR(IF(F75="","",VLOOKUP(F75,'10. Condition and Temporal'!$B$6:$F$103,5,FALSE)), "Error ▲")</f>
        <v/>
      </c>
      <c r="K75" s="43"/>
      <c r="L75" s="357" t="str">
        <f t="shared" si="19"/>
        <v/>
      </c>
      <c r="M75" s="358" t="str">
        <f t="shared" si="20"/>
        <v/>
      </c>
      <c r="N75" s="359"/>
      <c r="O75" s="378"/>
      <c r="P75" s="300"/>
      <c r="Q75" s="1"/>
      <c r="R75" s="161"/>
      <c r="S75" s="1"/>
      <c r="T75" s="361" t="str">
        <f t="shared" si="21"/>
        <v/>
      </c>
      <c r="U75" s="379" t="str">
        <f t="shared" si="22"/>
        <v/>
      </c>
      <c r="V75" s="211" t="str">
        <f t="shared" ref="V75:X75" si="59">IF($D75="","",V18)</f>
        <v/>
      </c>
      <c r="W75" s="214" t="str">
        <f t="shared" si="59"/>
        <v/>
      </c>
      <c r="X75" s="211" t="str">
        <f t="shared" si="59"/>
        <v/>
      </c>
      <c r="Y75" s="364"/>
      <c r="Z75" s="365"/>
      <c r="AA75" s="366"/>
      <c r="AB75" s="214" t="str">
        <f t="shared" si="24"/>
        <v/>
      </c>
      <c r="AC75" s="380" t="str">
        <f t="shared" si="25"/>
        <v/>
      </c>
      <c r="AD75" s="361" t="str">
        <f t="shared" si="26"/>
        <v/>
      </c>
      <c r="AE75" s="361" t="str">
        <f t="shared" si="27"/>
        <v/>
      </c>
      <c r="AF75" s="219" t="str">
        <f t="shared" si="28"/>
        <v/>
      </c>
      <c r="AG75" s="379" t="str">
        <f>IF(D75="","",VLOOKUP(F75,'9. All Habitats + Multipliers'!$C$4:$K$102,5,FALSE))</f>
        <v/>
      </c>
      <c r="AH75" s="381" t="str">
        <f>IF(AG75="","",VLOOKUP(AG75,'11. Lists'!$B$47:$D$49,2,FALSE))</f>
        <v/>
      </c>
      <c r="AI75" s="214" t="str">
        <f t="shared" si="29"/>
        <v/>
      </c>
      <c r="AJ75" s="211" t="str">
        <f>IF(AI75="","",VLOOKUP(AI75,'11. Lists'!$F$47:$G$51,2,FALSE))</f>
        <v/>
      </c>
      <c r="AK75" s="364"/>
      <c r="AL75" s="365"/>
      <c r="AM75" s="366"/>
      <c r="AN75" s="214" t="str">
        <f t="shared" si="30"/>
        <v/>
      </c>
      <c r="AO75" s="215" t="str">
        <f>IF(AN75="","",VLOOKUP(AN75,'11. Lists'!$F$36:$H$38,2,FALSE))</f>
        <v/>
      </c>
      <c r="AP75" s="211" t="str">
        <f>IF(AN75="","",VLOOKUP(AN75,'11. Lists'!$F$36:$H$38,3,FALSE))</f>
        <v/>
      </c>
      <c r="AQ75" s="379" t="str">
        <f>IF(D75="","",IF(AX75="Distinctiveness","N/A",VLOOKUP(F75,'10. Condition and Temporal'!$B$6:$L$103,11,FALSE)))</f>
        <v/>
      </c>
      <c r="AR75" s="382" t="str">
        <f>IF(AQ75="","",IF(AQ75="N/A","1",VLOOKUP(AQ75,'11. Lists'!$I$47:$K$80,3,FALSE)))</f>
        <v/>
      </c>
      <c r="AS75" s="383" t="str">
        <f>IF(D75="","",IF(AX75="Condition","N/A",VLOOKUP(F75,'10. Condition and Temporal'!$B$6:$M$106,12,FALSE)))</f>
        <v/>
      </c>
      <c r="AT75" s="382" t="str">
        <f>IF(AS75="","",IF(AS75="N/A","1",VLOOKUP(AS75,'11. Lists'!$I$47:$K$80,3,FALSE)))</f>
        <v/>
      </c>
      <c r="AU75" s="379" t="str">
        <f>IF(D75="","",VLOOKUP(F75,'9. All Habitats + Multipliers'!$C$4:$K$102,8,FALSE))</f>
        <v/>
      </c>
      <c r="AV75" s="380" t="str">
        <f>IF(AU75="","",VLOOKUP(AU75,'11. Lists'!$J$35:$K$38,2,FALSE))</f>
        <v/>
      </c>
      <c r="AW75" s="361" t="str">
        <f>IF(D75="","",VLOOKUP(D75,'10. Condition and Temporal'!$B$6:$M$103,4,FALSE))</f>
        <v/>
      </c>
      <c r="AX75" s="361" t="str">
        <f t="shared" si="31"/>
        <v/>
      </c>
      <c r="AY75" s="384" t="str">
        <f t="shared" si="32"/>
        <v/>
      </c>
      <c r="AZ75" s="1"/>
      <c r="BA75" s="214">
        <v>8.0</v>
      </c>
      <c r="BB75" s="215" t="str">
        <f t="shared" si="33"/>
        <v/>
      </c>
      <c r="BC75" s="215" t="str">
        <f t="shared" si="34"/>
        <v/>
      </c>
      <c r="BD75" s="215" t="str">
        <f t="shared" si="35"/>
        <v/>
      </c>
      <c r="BE75" s="215" t="str">
        <f t="shared" si="36"/>
        <v/>
      </c>
      <c r="BF75" s="215" t="str">
        <f t="shared" si="37"/>
        <v/>
      </c>
      <c r="BG75" s="215" t="str">
        <f t="shared" si="38"/>
        <v/>
      </c>
      <c r="BH75" s="215" t="str">
        <f t="shared" si="39"/>
        <v/>
      </c>
      <c r="BI75" s="215" t="str">
        <f t="shared" si="40"/>
        <v/>
      </c>
      <c r="BJ75" s="215" t="str">
        <f t="shared" si="41"/>
        <v/>
      </c>
      <c r="BK75" s="215" t="str">
        <f t="shared" si="42"/>
        <v/>
      </c>
      <c r="BL75" s="215" t="str">
        <f t="shared" si="43"/>
        <v/>
      </c>
      <c r="BM75" s="215" t="str">
        <f t="shared" si="44"/>
        <v/>
      </c>
      <c r="BN75" s="215" t="str">
        <f t="shared" si="45"/>
        <v/>
      </c>
      <c r="BO75" s="215" t="str">
        <f t="shared" si="46"/>
        <v/>
      </c>
      <c r="BP75" s="215" t="str">
        <f t="shared" si="47"/>
        <v/>
      </c>
      <c r="BQ75" s="215" t="str">
        <f t="shared" si="48"/>
        <v/>
      </c>
      <c r="BR75" s="215" t="str">
        <f t="shared" si="49"/>
        <v/>
      </c>
      <c r="BS75" s="215" t="str">
        <f t="shared" si="50"/>
        <v/>
      </c>
      <c r="BT75" s="215" t="str">
        <f t="shared" si="51"/>
        <v/>
      </c>
      <c r="BU75" s="211" t="str">
        <f t="shared" si="52"/>
        <v/>
      </c>
      <c r="BV75" s="212" t="str">
        <f t="shared" si="53"/>
        <v/>
      </c>
      <c r="BW75" s="215" t="s">
        <v>193</v>
      </c>
      <c r="BX75" s="215">
        <f>BI66</f>
        <v>0</v>
      </c>
      <c r="BY75" s="1"/>
      <c r="BZ75" s="1"/>
      <c r="CA75" s="1"/>
      <c r="CB75" s="1"/>
      <c r="CC75" s="1"/>
      <c r="CD75" s="1"/>
      <c r="CE75" s="1"/>
      <c r="CF75" s="1"/>
      <c r="CG75" s="1"/>
      <c r="CH75" s="1"/>
      <c r="CI75" s="1"/>
      <c r="CJ75" s="1"/>
      <c r="CK75" s="1"/>
      <c r="CL75" s="1"/>
      <c r="CM75" s="1"/>
      <c r="CN75" s="1"/>
      <c r="CO75" s="1"/>
      <c r="CP75" s="1"/>
      <c r="CQ75" s="1"/>
      <c r="CR75" s="1"/>
    </row>
    <row r="76" ht="14.25" customHeight="1">
      <c r="A76" s="176"/>
      <c r="B76" s="221">
        <v>9.0</v>
      </c>
      <c r="C76" s="376" t="str">
        <f t="shared" si="14"/>
        <v/>
      </c>
      <c r="D76" s="352" t="str">
        <f t="shared" si="15"/>
        <v/>
      </c>
      <c r="E76" s="377" t="str">
        <f t="shared" si="16"/>
        <v/>
      </c>
      <c r="F76" s="222"/>
      <c r="G76" s="43"/>
      <c r="H76" s="354" t="str">
        <f t="shared" si="17"/>
        <v/>
      </c>
      <c r="I76" s="355" t="str">
        <f t="shared" si="18"/>
        <v/>
      </c>
      <c r="J76" s="356" t="str">
        <f>IFERROR(IF(F76="","",VLOOKUP(F76,'10. Condition and Temporal'!$B$6:$F$103,5,FALSE)), "Error ▲")</f>
        <v/>
      </c>
      <c r="K76" s="43"/>
      <c r="L76" s="357" t="str">
        <f t="shared" si="19"/>
        <v/>
      </c>
      <c r="M76" s="358" t="str">
        <f t="shared" si="20"/>
        <v/>
      </c>
      <c r="N76" s="359"/>
      <c r="O76" s="378"/>
      <c r="P76" s="300"/>
      <c r="Q76" s="1"/>
      <c r="R76" s="161"/>
      <c r="S76" s="1"/>
      <c r="T76" s="361" t="str">
        <f t="shared" si="21"/>
        <v/>
      </c>
      <c r="U76" s="379" t="str">
        <f t="shared" si="22"/>
        <v/>
      </c>
      <c r="V76" s="211" t="str">
        <f t="shared" ref="V76:X76" si="60">IF($D76="","",V19)</f>
        <v/>
      </c>
      <c r="W76" s="214" t="str">
        <f t="shared" si="60"/>
        <v/>
      </c>
      <c r="X76" s="211" t="str">
        <f t="shared" si="60"/>
        <v/>
      </c>
      <c r="Y76" s="364"/>
      <c r="Z76" s="365"/>
      <c r="AA76" s="366"/>
      <c r="AB76" s="214" t="str">
        <f t="shared" si="24"/>
        <v/>
      </c>
      <c r="AC76" s="380" t="str">
        <f t="shared" si="25"/>
        <v/>
      </c>
      <c r="AD76" s="361" t="str">
        <f t="shared" si="26"/>
        <v/>
      </c>
      <c r="AE76" s="361" t="str">
        <f t="shared" si="27"/>
        <v/>
      </c>
      <c r="AF76" s="219" t="str">
        <f t="shared" si="28"/>
        <v/>
      </c>
      <c r="AG76" s="379" t="str">
        <f>IF(D76="","",VLOOKUP(F76,'9. All Habitats + Multipliers'!$C$4:$K$102,5,FALSE))</f>
        <v/>
      </c>
      <c r="AH76" s="381" t="str">
        <f>IF(AG76="","",VLOOKUP(AG76,'11. Lists'!$B$47:$D$49,2,FALSE))</f>
        <v/>
      </c>
      <c r="AI76" s="214" t="str">
        <f t="shared" si="29"/>
        <v/>
      </c>
      <c r="AJ76" s="211" t="str">
        <f>IF(AI76="","",VLOOKUP(AI76,'11. Lists'!$F$47:$G$51,2,FALSE))</f>
        <v/>
      </c>
      <c r="AK76" s="364"/>
      <c r="AL76" s="365"/>
      <c r="AM76" s="366"/>
      <c r="AN76" s="214" t="str">
        <f t="shared" si="30"/>
        <v/>
      </c>
      <c r="AO76" s="215" t="str">
        <f>IF(AN76="","",VLOOKUP(AN76,'11. Lists'!$F$36:$H$38,2,FALSE))</f>
        <v/>
      </c>
      <c r="AP76" s="211" t="str">
        <f>IF(AN76="","",VLOOKUP(AN76,'11. Lists'!$F$36:$H$38,3,FALSE))</f>
        <v/>
      </c>
      <c r="AQ76" s="379" t="str">
        <f>IF(D76="","",IF(AX76="Distinctiveness","N/A",VLOOKUP(F76,'10. Condition and Temporal'!$B$6:$L$103,11,FALSE)))</f>
        <v/>
      </c>
      <c r="AR76" s="382" t="str">
        <f>IF(AQ76="","",IF(AQ76="N/A","1",VLOOKUP(AQ76,'11. Lists'!$I$47:$K$80,3,FALSE)))</f>
        <v/>
      </c>
      <c r="AS76" s="383" t="str">
        <f>IF(D76="","",IF(AX76="Condition","N/A",VLOOKUP(F76,'10. Condition and Temporal'!$B$6:$M$106,12,FALSE)))</f>
        <v/>
      </c>
      <c r="AT76" s="382" t="str">
        <f>IF(AS76="","",IF(AS76="N/A","1",VLOOKUP(AS76,'11. Lists'!$I$47:$K$80,3,FALSE)))</f>
        <v/>
      </c>
      <c r="AU76" s="379" t="str">
        <f>IF(D76="","",VLOOKUP(F76,'9. All Habitats + Multipliers'!$C$4:$K$102,8,FALSE))</f>
        <v/>
      </c>
      <c r="AV76" s="380" t="str">
        <f>IF(AU76="","",VLOOKUP(AU76,'11. Lists'!$J$35:$K$38,2,FALSE))</f>
        <v/>
      </c>
      <c r="AW76" s="361" t="str">
        <f>IF(D76="","",VLOOKUP(D76,'10. Condition and Temporal'!$B$6:$M$103,4,FALSE))</f>
        <v/>
      </c>
      <c r="AX76" s="361" t="str">
        <f t="shared" si="31"/>
        <v/>
      </c>
      <c r="AY76" s="384" t="str">
        <f t="shared" si="32"/>
        <v/>
      </c>
      <c r="AZ76" s="1"/>
      <c r="BA76" s="214">
        <v>9.0</v>
      </c>
      <c r="BB76" s="215" t="str">
        <f t="shared" si="33"/>
        <v/>
      </c>
      <c r="BC76" s="215" t="str">
        <f t="shared" si="34"/>
        <v/>
      </c>
      <c r="BD76" s="215" t="str">
        <f t="shared" si="35"/>
        <v/>
      </c>
      <c r="BE76" s="215" t="str">
        <f t="shared" si="36"/>
        <v/>
      </c>
      <c r="BF76" s="215" t="str">
        <f t="shared" si="37"/>
        <v/>
      </c>
      <c r="BG76" s="215" t="str">
        <f t="shared" si="38"/>
        <v/>
      </c>
      <c r="BH76" s="215" t="str">
        <f t="shared" si="39"/>
        <v/>
      </c>
      <c r="BI76" s="215" t="str">
        <f t="shared" si="40"/>
        <v/>
      </c>
      <c r="BJ76" s="215" t="str">
        <f t="shared" si="41"/>
        <v/>
      </c>
      <c r="BK76" s="215" t="str">
        <f t="shared" si="42"/>
        <v/>
      </c>
      <c r="BL76" s="215" t="str">
        <f t="shared" si="43"/>
        <v/>
      </c>
      <c r="BM76" s="215" t="str">
        <f t="shared" si="44"/>
        <v/>
      </c>
      <c r="BN76" s="215" t="str">
        <f t="shared" si="45"/>
        <v/>
      </c>
      <c r="BO76" s="215" t="str">
        <f t="shared" si="46"/>
        <v/>
      </c>
      <c r="BP76" s="215" t="str">
        <f t="shared" si="47"/>
        <v/>
      </c>
      <c r="BQ76" s="215" t="str">
        <f t="shared" si="48"/>
        <v/>
      </c>
      <c r="BR76" s="215" t="str">
        <f t="shared" si="49"/>
        <v/>
      </c>
      <c r="BS76" s="215" t="str">
        <f t="shared" si="50"/>
        <v/>
      </c>
      <c r="BT76" s="215" t="str">
        <f t="shared" si="51"/>
        <v/>
      </c>
      <c r="BU76" s="211" t="str">
        <f t="shared" si="52"/>
        <v/>
      </c>
      <c r="BV76" s="212" t="str">
        <f t="shared" si="53"/>
        <v/>
      </c>
      <c r="BW76" s="215" t="s">
        <v>194</v>
      </c>
      <c r="BX76" s="215">
        <f>BJ66</f>
        <v>0</v>
      </c>
      <c r="BY76" s="1"/>
      <c r="BZ76" s="1"/>
      <c r="CA76" s="1"/>
      <c r="CB76" s="1"/>
      <c r="CC76" s="1"/>
      <c r="CD76" s="1"/>
      <c r="CE76" s="1"/>
      <c r="CF76" s="1"/>
      <c r="CG76" s="1"/>
      <c r="CH76" s="1"/>
      <c r="CI76" s="1"/>
      <c r="CJ76" s="1"/>
      <c r="CK76" s="1"/>
      <c r="CL76" s="1"/>
      <c r="CM76" s="1"/>
      <c r="CN76" s="1"/>
      <c r="CO76" s="1"/>
      <c r="CP76" s="1"/>
      <c r="CQ76" s="1"/>
      <c r="CR76" s="1"/>
    </row>
    <row r="77" ht="14.25" customHeight="1">
      <c r="A77" s="176"/>
      <c r="B77" s="221">
        <v>10.0</v>
      </c>
      <c r="C77" s="376" t="str">
        <f t="shared" si="14"/>
        <v/>
      </c>
      <c r="D77" s="352" t="str">
        <f t="shared" si="15"/>
        <v/>
      </c>
      <c r="E77" s="377" t="str">
        <f t="shared" si="16"/>
        <v/>
      </c>
      <c r="F77" s="222"/>
      <c r="G77" s="43"/>
      <c r="H77" s="354" t="str">
        <f t="shared" si="17"/>
        <v/>
      </c>
      <c r="I77" s="355" t="str">
        <f t="shared" si="18"/>
        <v/>
      </c>
      <c r="J77" s="356" t="str">
        <f>IFERROR(IF(F77="","",VLOOKUP(F77,'10. Condition and Temporal'!$B$6:$F$103,5,FALSE)), "Error ▲")</f>
        <v/>
      </c>
      <c r="K77" s="43"/>
      <c r="L77" s="357" t="str">
        <f t="shared" si="19"/>
        <v/>
      </c>
      <c r="M77" s="358" t="str">
        <f t="shared" si="20"/>
        <v/>
      </c>
      <c r="N77" s="359"/>
      <c r="O77" s="378"/>
      <c r="P77" s="300"/>
      <c r="Q77" s="1"/>
      <c r="R77" s="161"/>
      <c r="S77" s="1"/>
      <c r="T77" s="361" t="str">
        <f t="shared" si="21"/>
        <v/>
      </c>
      <c r="U77" s="379" t="str">
        <f t="shared" si="22"/>
        <v/>
      </c>
      <c r="V77" s="211" t="str">
        <f t="shared" ref="V77:X77" si="61">IF($D77="","",V20)</f>
        <v/>
      </c>
      <c r="W77" s="214" t="str">
        <f t="shared" si="61"/>
        <v/>
      </c>
      <c r="X77" s="211" t="str">
        <f t="shared" si="61"/>
        <v/>
      </c>
      <c r="Y77" s="364"/>
      <c r="Z77" s="365"/>
      <c r="AA77" s="366"/>
      <c r="AB77" s="214" t="str">
        <f t="shared" si="24"/>
        <v/>
      </c>
      <c r="AC77" s="380" t="str">
        <f t="shared" si="25"/>
        <v/>
      </c>
      <c r="AD77" s="361" t="str">
        <f t="shared" si="26"/>
        <v/>
      </c>
      <c r="AE77" s="361" t="str">
        <f t="shared" si="27"/>
        <v/>
      </c>
      <c r="AF77" s="219" t="str">
        <f t="shared" si="28"/>
        <v/>
      </c>
      <c r="AG77" s="379" t="str">
        <f>IF(D77="","",VLOOKUP(F77,'9. All Habitats + Multipliers'!$C$4:$K$102,5,FALSE))</f>
        <v/>
      </c>
      <c r="AH77" s="381" t="str">
        <f>IF(AG77="","",VLOOKUP(AG77,'11. Lists'!$B$47:$D$49,2,FALSE))</f>
        <v/>
      </c>
      <c r="AI77" s="214" t="str">
        <f t="shared" si="29"/>
        <v/>
      </c>
      <c r="AJ77" s="211" t="str">
        <f>IF(AI77="","",VLOOKUP(AI77,'11. Lists'!$F$47:$G$51,2,FALSE))</f>
        <v/>
      </c>
      <c r="AK77" s="364"/>
      <c r="AL77" s="365"/>
      <c r="AM77" s="366"/>
      <c r="AN77" s="214" t="str">
        <f t="shared" si="30"/>
        <v/>
      </c>
      <c r="AO77" s="215" t="str">
        <f>IF(AN77="","",VLOOKUP(AN77,'11. Lists'!$F$36:$H$38,2,FALSE))</f>
        <v/>
      </c>
      <c r="AP77" s="211" t="str">
        <f>IF(AN77="","",VLOOKUP(AN77,'11. Lists'!$F$36:$H$38,3,FALSE))</f>
        <v/>
      </c>
      <c r="AQ77" s="379" t="str">
        <f>IF(D77="","",IF(AX77="Distinctiveness","N/A",VLOOKUP(F77,'10. Condition and Temporal'!$B$6:$L$103,11,FALSE)))</f>
        <v/>
      </c>
      <c r="AR77" s="382" t="str">
        <f>IF(AQ77="","",IF(AQ77="N/A","1",VLOOKUP(AQ77,'11. Lists'!$I$47:$K$80,3,FALSE)))</f>
        <v/>
      </c>
      <c r="AS77" s="383" t="str">
        <f>IF(D77="","",IF(AX77="Condition","N/A",VLOOKUP(F77,'10. Condition and Temporal'!$B$6:$M$106,12,FALSE)))</f>
        <v/>
      </c>
      <c r="AT77" s="382" t="str">
        <f>IF(AS77="","",IF(AS77="N/A","1",VLOOKUP(AS77,'11. Lists'!$I$47:$K$80,3,FALSE)))</f>
        <v/>
      </c>
      <c r="AU77" s="379" t="str">
        <f>IF(D77="","",VLOOKUP(F77,'9. All Habitats + Multipliers'!$C$4:$K$102,8,FALSE))</f>
        <v/>
      </c>
      <c r="AV77" s="380" t="str">
        <f>IF(AU77="","",VLOOKUP(AU77,'11. Lists'!$J$35:$K$38,2,FALSE))</f>
        <v/>
      </c>
      <c r="AW77" s="361" t="str">
        <f>IF(D77="","",VLOOKUP(D77,'10. Condition and Temporal'!$B$6:$M$103,4,FALSE))</f>
        <v/>
      </c>
      <c r="AX77" s="361" t="str">
        <f t="shared" si="31"/>
        <v/>
      </c>
      <c r="AY77" s="384" t="str">
        <f t="shared" si="32"/>
        <v/>
      </c>
      <c r="AZ77" s="1"/>
      <c r="BA77" s="214">
        <v>10.0</v>
      </c>
      <c r="BB77" s="215" t="str">
        <f t="shared" si="33"/>
        <v/>
      </c>
      <c r="BC77" s="215" t="str">
        <f t="shared" si="34"/>
        <v/>
      </c>
      <c r="BD77" s="215" t="str">
        <f t="shared" si="35"/>
        <v/>
      </c>
      <c r="BE77" s="215" t="str">
        <f t="shared" si="36"/>
        <v/>
      </c>
      <c r="BF77" s="215" t="str">
        <f t="shared" si="37"/>
        <v/>
      </c>
      <c r="BG77" s="215" t="str">
        <f t="shared" si="38"/>
        <v/>
      </c>
      <c r="BH77" s="215" t="str">
        <f t="shared" si="39"/>
        <v/>
      </c>
      <c r="BI77" s="215" t="str">
        <f t="shared" si="40"/>
        <v/>
      </c>
      <c r="BJ77" s="215" t="str">
        <f t="shared" si="41"/>
        <v/>
      </c>
      <c r="BK77" s="215" t="str">
        <f t="shared" si="42"/>
        <v/>
      </c>
      <c r="BL77" s="215" t="str">
        <f t="shared" si="43"/>
        <v/>
      </c>
      <c r="BM77" s="215" t="str">
        <f t="shared" si="44"/>
        <v/>
      </c>
      <c r="BN77" s="215" t="str">
        <f t="shared" si="45"/>
        <v/>
      </c>
      <c r="BO77" s="215" t="str">
        <f t="shared" si="46"/>
        <v/>
      </c>
      <c r="BP77" s="215" t="str">
        <f t="shared" si="47"/>
        <v/>
      </c>
      <c r="BQ77" s="215" t="str">
        <f t="shared" si="48"/>
        <v/>
      </c>
      <c r="BR77" s="215" t="str">
        <f t="shared" si="49"/>
        <v/>
      </c>
      <c r="BS77" s="215" t="str">
        <f t="shared" si="50"/>
        <v/>
      </c>
      <c r="BT77" s="215" t="str">
        <f t="shared" si="51"/>
        <v/>
      </c>
      <c r="BU77" s="211" t="str">
        <f t="shared" si="52"/>
        <v/>
      </c>
      <c r="BV77" s="212" t="str">
        <f t="shared" si="53"/>
        <v/>
      </c>
      <c r="BW77" s="215" t="s">
        <v>195</v>
      </c>
      <c r="BX77" s="215">
        <f>BK66</f>
        <v>0</v>
      </c>
      <c r="BY77" s="1"/>
      <c r="BZ77" s="1"/>
      <c r="CA77" s="1"/>
      <c r="CB77" s="1"/>
      <c r="CC77" s="1"/>
      <c r="CD77" s="1"/>
      <c r="CE77" s="1"/>
      <c r="CF77" s="1"/>
      <c r="CG77" s="1"/>
      <c r="CH77" s="1"/>
      <c r="CI77" s="1"/>
      <c r="CJ77" s="1"/>
      <c r="CK77" s="1"/>
      <c r="CL77" s="1"/>
      <c r="CM77" s="1"/>
      <c r="CN77" s="1"/>
      <c r="CO77" s="1"/>
      <c r="CP77" s="1"/>
      <c r="CQ77" s="1"/>
      <c r="CR77" s="1"/>
    </row>
    <row r="78" ht="14.25" customHeight="1">
      <c r="A78" s="176"/>
      <c r="B78" s="221">
        <v>11.0</v>
      </c>
      <c r="C78" s="376" t="str">
        <f t="shared" si="14"/>
        <v/>
      </c>
      <c r="D78" s="352" t="str">
        <f t="shared" si="15"/>
        <v/>
      </c>
      <c r="E78" s="377" t="str">
        <f t="shared" si="16"/>
        <v/>
      </c>
      <c r="F78" s="222"/>
      <c r="G78" s="43"/>
      <c r="H78" s="354" t="str">
        <f t="shared" si="17"/>
        <v/>
      </c>
      <c r="I78" s="355" t="str">
        <f t="shared" si="18"/>
        <v/>
      </c>
      <c r="J78" s="356" t="str">
        <f>IFERROR(IF(F78="","",VLOOKUP(F78,'10. Condition and Temporal'!$B$6:$F$103,5,FALSE)), "Error ▲")</f>
        <v/>
      </c>
      <c r="K78" s="43"/>
      <c r="L78" s="357" t="str">
        <f t="shared" si="19"/>
        <v/>
      </c>
      <c r="M78" s="358" t="str">
        <f t="shared" si="20"/>
        <v/>
      </c>
      <c r="N78" s="359"/>
      <c r="O78" s="378"/>
      <c r="P78" s="300"/>
      <c r="Q78" s="1"/>
      <c r="R78" s="161"/>
      <c r="S78" s="1"/>
      <c r="T78" s="361" t="str">
        <f t="shared" si="21"/>
        <v/>
      </c>
      <c r="U78" s="379" t="str">
        <f t="shared" si="22"/>
        <v/>
      </c>
      <c r="V78" s="211" t="str">
        <f t="shared" ref="V78:X78" si="62">IF($D78="","",V21)</f>
        <v/>
      </c>
      <c r="W78" s="214" t="str">
        <f t="shared" si="62"/>
        <v/>
      </c>
      <c r="X78" s="211" t="str">
        <f t="shared" si="62"/>
        <v/>
      </c>
      <c r="Y78" s="364"/>
      <c r="Z78" s="365"/>
      <c r="AA78" s="366"/>
      <c r="AB78" s="214" t="str">
        <f t="shared" si="24"/>
        <v/>
      </c>
      <c r="AC78" s="380" t="str">
        <f t="shared" si="25"/>
        <v/>
      </c>
      <c r="AD78" s="361" t="str">
        <f t="shared" si="26"/>
        <v/>
      </c>
      <c r="AE78" s="361" t="str">
        <f t="shared" si="27"/>
        <v/>
      </c>
      <c r="AF78" s="219" t="str">
        <f t="shared" si="28"/>
        <v/>
      </c>
      <c r="AG78" s="379" t="str">
        <f>IF(D78="","",VLOOKUP(F78,'9. All Habitats + Multipliers'!$C$4:$K$102,5,FALSE))</f>
        <v/>
      </c>
      <c r="AH78" s="381" t="str">
        <f>IF(AG78="","",VLOOKUP(AG78,'11. Lists'!$B$47:$D$49,2,FALSE))</f>
        <v/>
      </c>
      <c r="AI78" s="214" t="str">
        <f t="shared" si="29"/>
        <v/>
      </c>
      <c r="AJ78" s="211" t="str">
        <f>IF(AI78="","",VLOOKUP(AI78,'11. Lists'!$F$47:$G$51,2,FALSE))</f>
        <v/>
      </c>
      <c r="AK78" s="364"/>
      <c r="AL78" s="365"/>
      <c r="AM78" s="366"/>
      <c r="AN78" s="214" t="str">
        <f t="shared" si="30"/>
        <v/>
      </c>
      <c r="AO78" s="215" t="str">
        <f>IF(AN78="","",VLOOKUP(AN78,'11. Lists'!$F$36:$H$38,2,FALSE))</f>
        <v/>
      </c>
      <c r="AP78" s="211" t="str">
        <f>IF(AN78="","",VLOOKUP(AN78,'11. Lists'!$F$36:$H$38,3,FALSE))</f>
        <v/>
      </c>
      <c r="AQ78" s="379" t="str">
        <f>IF(D78="","",IF(AX78="Distinctiveness","N/A",VLOOKUP(F78,'10. Condition and Temporal'!$B$6:$L$103,11,FALSE)))</f>
        <v/>
      </c>
      <c r="AR78" s="382" t="str">
        <f>IF(AQ78="","",IF(AQ78="N/A","1",VLOOKUP(AQ78,'11. Lists'!$I$47:$K$80,3,FALSE)))</f>
        <v/>
      </c>
      <c r="AS78" s="383" t="str">
        <f>IF(D78="","",IF(AX78="Condition","N/A",VLOOKUP(F78,'10. Condition and Temporal'!$B$6:$M$106,12,FALSE)))</f>
        <v/>
      </c>
      <c r="AT78" s="382" t="str">
        <f>IF(AS78="","",IF(AS78="N/A","1",VLOOKUP(AS78,'11. Lists'!$I$47:$K$80,3,FALSE)))</f>
        <v/>
      </c>
      <c r="AU78" s="379" t="str">
        <f>IF(D78="","",VLOOKUP(F78,'9. All Habitats + Multipliers'!$C$4:$K$102,8,FALSE))</f>
        <v/>
      </c>
      <c r="AV78" s="380" t="str">
        <f>IF(AU78="","",VLOOKUP(AU78,'11. Lists'!$J$35:$K$38,2,FALSE))</f>
        <v/>
      </c>
      <c r="AW78" s="361" t="str">
        <f>IF(D78="","",VLOOKUP(D78,'10. Condition and Temporal'!$B$6:$M$103,4,FALSE))</f>
        <v/>
      </c>
      <c r="AX78" s="361" t="str">
        <f t="shared" si="31"/>
        <v/>
      </c>
      <c r="AY78" s="384" t="str">
        <f t="shared" si="32"/>
        <v/>
      </c>
      <c r="AZ78" s="1"/>
      <c r="BA78" s="214">
        <v>11.0</v>
      </c>
      <c r="BB78" s="215" t="str">
        <f t="shared" si="33"/>
        <v/>
      </c>
      <c r="BC78" s="215" t="str">
        <f t="shared" si="34"/>
        <v/>
      </c>
      <c r="BD78" s="215" t="str">
        <f t="shared" si="35"/>
        <v/>
      </c>
      <c r="BE78" s="215" t="str">
        <f t="shared" si="36"/>
        <v/>
      </c>
      <c r="BF78" s="215" t="str">
        <f t="shared" si="37"/>
        <v/>
      </c>
      <c r="BG78" s="215" t="str">
        <f t="shared" si="38"/>
        <v/>
      </c>
      <c r="BH78" s="215" t="str">
        <f t="shared" si="39"/>
        <v/>
      </c>
      <c r="BI78" s="215" t="str">
        <f t="shared" si="40"/>
        <v/>
      </c>
      <c r="BJ78" s="215" t="str">
        <f t="shared" si="41"/>
        <v/>
      </c>
      <c r="BK78" s="215" t="str">
        <f t="shared" si="42"/>
        <v/>
      </c>
      <c r="BL78" s="215" t="str">
        <f t="shared" si="43"/>
        <v/>
      </c>
      <c r="BM78" s="215" t="str">
        <f t="shared" si="44"/>
        <v/>
      </c>
      <c r="BN78" s="215" t="str">
        <f t="shared" si="45"/>
        <v/>
      </c>
      <c r="BO78" s="215" t="str">
        <f t="shared" si="46"/>
        <v/>
      </c>
      <c r="BP78" s="215" t="str">
        <f t="shared" si="47"/>
        <v/>
      </c>
      <c r="BQ78" s="215" t="str">
        <f t="shared" si="48"/>
        <v/>
      </c>
      <c r="BR78" s="215" t="str">
        <f t="shared" si="49"/>
        <v/>
      </c>
      <c r="BS78" s="215" t="str">
        <f t="shared" si="50"/>
        <v/>
      </c>
      <c r="BT78" s="215" t="str">
        <f t="shared" si="51"/>
        <v/>
      </c>
      <c r="BU78" s="211" t="str">
        <f t="shared" si="52"/>
        <v/>
      </c>
      <c r="BV78" s="212" t="str">
        <f t="shared" si="53"/>
        <v/>
      </c>
      <c r="BW78" s="215" t="s">
        <v>196</v>
      </c>
      <c r="BX78" s="215">
        <f>BL66</f>
        <v>0</v>
      </c>
      <c r="BY78" s="1"/>
      <c r="BZ78" s="1"/>
      <c r="CA78" s="1"/>
      <c r="CB78" s="1"/>
      <c r="CC78" s="1"/>
      <c r="CD78" s="1"/>
      <c r="CE78" s="1"/>
      <c r="CF78" s="1"/>
      <c r="CG78" s="1"/>
      <c r="CH78" s="1"/>
      <c r="CI78" s="1"/>
      <c r="CJ78" s="1"/>
      <c r="CK78" s="1"/>
      <c r="CL78" s="1"/>
      <c r="CM78" s="1"/>
      <c r="CN78" s="1"/>
      <c r="CO78" s="1"/>
      <c r="CP78" s="1"/>
      <c r="CQ78" s="1"/>
      <c r="CR78" s="1"/>
    </row>
    <row r="79" ht="14.25" customHeight="1">
      <c r="A79" s="176"/>
      <c r="B79" s="221">
        <v>12.0</v>
      </c>
      <c r="C79" s="376" t="str">
        <f t="shared" si="14"/>
        <v/>
      </c>
      <c r="D79" s="352" t="str">
        <f t="shared" si="15"/>
        <v/>
      </c>
      <c r="E79" s="377" t="str">
        <f t="shared" si="16"/>
        <v/>
      </c>
      <c r="F79" s="222"/>
      <c r="G79" s="43"/>
      <c r="H79" s="354" t="str">
        <f t="shared" si="17"/>
        <v/>
      </c>
      <c r="I79" s="355" t="str">
        <f t="shared" si="18"/>
        <v/>
      </c>
      <c r="J79" s="356" t="str">
        <f>IFERROR(IF(F79="","",VLOOKUP(F79,'10. Condition and Temporal'!$B$6:$F$103,5,FALSE)), "Error ▲")</f>
        <v/>
      </c>
      <c r="K79" s="43"/>
      <c r="L79" s="357" t="str">
        <f t="shared" si="19"/>
        <v/>
      </c>
      <c r="M79" s="358" t="str">
        <f t="shared" si="20"/>
        <v/>
      </c>
      <c r="N79" s="359"/>
      <c r="O79" s="378"/>
      <c r="P79" s="300"/>
      <c r="Q79" s="1"/>
      <c r="R79" s="161"/>
      <c r="S79" s="1"/>
      <c r="T79" s="361" t="str">
        <f t="shared" si="21"/>
        <v/>
      </c>
      <c r="U79" s="379" t="str">
        <f t="shared" si="22"/>
        <v/>
      </c>
      <c r="V79" s="211" t="str">
        <f t="shared" ref="V79:X79" si="63">IF($D79="","",V22)</f>
        <v/>
      </c>
      <c r="W79" s="214" t="str">
        <f t="shared" si="63"/>
        <v/>
      </c>
      <c r="X79" s="211" t="str">
        <f t="shared" si="63"/>
        <v/>
      </c>
      <c r="Y79" s="364"/>
      <c r="Z79" s="365"/>
      <c r="AA79" s="366"/>
      <c r="AB79" s="214" t="str">
        <f t="shared" si="24"/>
        <v/>
      </c>
      <c r="AC79" s="380" t="str">
        <f t="shared" si="25"/>
        <v/>
      </c>
      <c r="AD79" s="361" t="str">
        <f t="shared" si="26"/>
        <v/>
      </c>
      <c r="AE79" s="361" t="str">
        <f t="shared" si="27"/>
        <v/>
      </c>
      <c r="AF79" s="219" t="str">
        <f t="shared" si="28"/>
        <v/>
      </c>
      <c r="AG79" s="379" t="str">
        <f>IF(D79="","",VLOOKUP(F79,'9. All Habitats + Multipliers'!$C$4:$K$102,5,FALSE))</f>
        <v/>
      </c>
      <c r="AH79" s="381" t="str">
        <f>IF(AG79="","",VLOOKUP(AG79,'11. Lists'!$B$47:$D$49,2,FALSE))</f>
        <v/>
      </c>
      <c r="AI79" s="214" t="str">
        <f t="shared" si="29"/>
        <v/>
      </c>
      <c r="AJ79" s="211" t="str">
        <f>IF(AI79="","",VLOOKUP(AI79,'11. Lists'!$F$47:$G$51,2,FALSE))</f>
        <v/>
      </c>
      <c r="AK79" s="364"/>
      <c r="AL79" s="365"/>
      <c r="AM79" s="366"/>
      <c r="AN79" s="214" t="str">
        <f t="shared" si="30"/>
        <v/>
      </c>
      <c r="AO79" s="215" t="str">
        <f>IF(AN79="","",VLOOKUP(AN79,'11. Lists'!$F$36:$H$38,2,FALSE))</f>
        <v/>
      </c>
      <c r="AP79" s="211" t="str">
        <f>IF(AN79="","",VLOOKUP(AN79,'11. Lists'!$F$36:$H$38,3,FALSE))</f>
        <v/>
      </c>
      <c r="AQ79" s="379" t="str">
        <f>IF(D79="","",IF(AX79="Distinctiveness","N/A",VLOOKUP(F79,'10. Condition and Temporal'!$B$6:$L$103,11,FALSE)))</f>
        <v/>
      </c>
      <c r="AR79" s="382" t="str">
        <f>IF(AQ79="","",IF(AQ79="N/A","1",VLOOKUP(AQ79,'11. Lists'!$I$47:$K$80,3,FALSE)))</f>
        <v/>
      </c>
      <c r="AS79" s="383" t="str">
        <f>IF(D79="","",IF(AX79="Condition","N/A",VLOOKUP(F79,'10. Condition and Temporal'!$B$6:$M$106,12,FALSE)))</f>
        <v/>
      </c>
      <c r="AT79" s="382" t="str">
        <f>IF(AS79="","",IF(AS79="N/A","1",VLOOKUP(AS79,'11. Lists'!$I$47:$K$80,3,FALSE)))</f>
        <v/>
      </c>
      <c r="AU79" s="379" t="str">
        <f>IF(D79="","",VLOOKUP(F79,'9. All Habitats + Multipliers'!$C$4:$K$102,8,FALSE))</f>
        <v/>
      </c>
      <c r="AV79" s="380" t="str">
        <f>IF(AU79="","",VLOOKUP(AU79,'11. Lists'!$J$35:$K$38,2,FALSE))</f>
        <v/>
      </c>
      <c r="AW79" s="361" t="str">
        <f>IF(D79="","",VLOOKUP(D79,'10. Condition and Temporal'!$B$6:$M$103,4,FALSE))</f>
        <v/>
      </c>
      <c r="AX79" s="361" t="str">
        <f t="shared" si="31"/>
        <v/>
      </c>
      <c r="AY79" s="384" t="str">
        <f t="shared" si="32"/>
        <v/>
      </c>
      <c r="AZ79" s="1"/>
      <c r="BA79" s="214">
        <v>12.0</v>
      </c>
      <c r="BB79" s="215" t="str">
        <f t="shared" si="33"/>
        <v/>
      </c>
      <c r="BC79" s="215" t="str">
        <f t="shared" si="34"/>
        <v/>
      </c>
      <c r="BD79" s="215" t="str">
        <f t="shared" si="35"/>
        <v/>
      </c>
      <c r="BE79" s="215" t="str">
        <f t="shared" si="36"/>
        <v/>
      </c>
      <c r="BF79" s="215" t="str">
        <f t="shared" si="37"/>
        <v/>
      </c>
      <c r="BG79" s="215" t="str">
        <f t="shared" si="38"/>
        <v/>
      </c>
      <c r="BH79" s="215" t="str">
        <f t="shared" si="39"/>
        <v/>
      </c>
      <c r="BI79" s="215" t="str">
        <f t="shared" si="40"/>
        <v/>
      </c>
      <c r="BJ79" s="215" t="str">
        <f t="shared" si="41"/>
        <v/>
      </c>
      <c r="BK79" s="215" t="str">
        <f t="shared" si="42"/>
        <v/>
      </c>
      <c r="BL79" s="215" t="str">
        <f t="shared" si="43"/>
        <v/>
      </c>
      <c r="BM79" s="215" t="str">
        <f t="shared" si="44"/>
        <v/>
      </c>
      <c r="BN79" s="215" t="str">
        <f t="shared" si="45"/>
        <v/>
      </c>
      <c r="BO79" s="215" t="str">
        <f t="shared" si="46"/>
        <v/>
      </c>
      <c r="BP79" s="215" t="str">
        <f t="shared" si="47"/>
        <v/>
      </c>
      <c r="BQ79" s="215" t="str">
        <f t="shared" si="48"/>
        <v/>
      </c>
      <c r="BR79" s="215" t="str">
        <f t="shared" si="49"/>
        <v/>
      </c>
      <c r="BS79" s="215" t="str">
        <f t="shared" si="50"/>
        <v/>
      </c>
      <c r="BT79" s="215" t="str">
        <f t="shared" si="51"/>
        <v/>
      </c>
      <c r="BU79" s="211" t="str">
        <f t="shared" si="52"/>
        <v/>
      </c>
      <c r="BV79" s="212" t="str">
        <f t="shared" si="53"/>
        <v/>
      </c>
      <c r="BW79" s="215" t="s">
        <v>197</v>
      </c>
      <c r="BX79" s="215">
        <f>BM66</f>
        <v>0</v>
      </c>
      <c r="BY79" s="1"/>
      <c r="BZ79" s="1"/>
      <c r="CA79" s="1"/>
      <c r="CB79" s="1"/>
      <c r="CC79" s="1"/>
      <c r="CD79" s="1"/>
      <c r="CE79" s="1"/>
      <c r="CF79" s="1"/>
      <c r="CG79" s="1"/>
      <c r="CH79" s="1"/>
      <c r="CI79" s="1"/>
      <c r="CJ79" s="1"/>
      <c r="CK79" s="1"/>
      <c r="CL79" s="1"/>
      <c r="CM79" s="1"/>
      <c r="CN79" s="1"/>
      <c r="CO79" s="1"/>
      <c r="CP79" s="1"/>
      <c r="CQ79" s="1"/>
      <c r="CR79" s="1"/>
    </row>
    <row r="80" ht="14.25" customHeight="1">
      <c r="A80" s="176"/>
      <c r="B80" s="221">
        <v>13.0</v>
      </c>
      <c r="C80" s="376" t="str">
        <f t="shared" si="14"/>
        <v/>
      </c>
      <c r="D80" s="352" t="str">
        <f t="shared" si="15"/>
        <v/>
      </c>
      <c r="E80" s="377" t="str">
        <f t="shared" si="16"/>
        <v/>
      </c>
      <c r="F80" s="222"/>
      <c r="G80" s="43"/>
      <c r="H80" s="354" t="str">
        <f t="shared" si="17"/>
        <v/>
      </c>
      <c r="I80" s="355" t="str">
        <f t="shared" si="18"/>
        <v/>
      </c>
      <c r="J80" s="356" t="str">
        <f>IFERROR(IF(F80="","",VLOOKUP(F80,'10. Condition and Temporal'!$B$6:$F$103,5,FALSE)), "Error ▲")</f>
        <v/>
      </c>
      <c r="K80" s="43"/>
      <c r="L80" s="357" t="str">
        <f t="shared" si="19"/>
        <v/>
      </c>
      <c r="M80" s="358" t="str">
        <f t="shared" si="20"/>
        <v/>
      </c>
      <c r="N80" s="359"/>
      <c r="O80" s="378"/>
      <c r="P80" s="300"/>
      <c r="Q80" s="1"/>
      <c r="R80" s="161"/>
      <c r="S80" s="1"/>
      <c r="T80" s="361" t="str">
        <f t="shared" si="21"/>
        <v/>
      </c>
      <c r="U80" s="379" t="str">
        <f t="shared" si="22"/>
        <v/>
      </c>
      <c r="V80" s="211" t="str">
        <f t="shared" ref="V80:X80" si="64">IF($D80="","",V23)</f>
        <v/>
      </c>
      <c r="W80" s="214" t="str">
        <f t="shared" si="64"/>
        <v/>
      </c>
      <c r="X80" s="211" t="str">
        <f t="shared" si="64"/>
        <v/>
      </c>
      <c r="Y80" s="364"/>
      <c r="Z80" s="365"/>
      <c r="AA80" s="366"/>
      <c r="AB80" s="214" t="str">
        <f t="shared" si="24"/>
        <v/>
      </c>
      <c r="AC80" s="380" t="str">
        <f t="shared" si="25"/>
        <v/>
      </c>
      <c r="AD80" s="361" t="str">
        <f t="shared" si="26"/>
        <v/>
      </c>
      <c r="AE80" s="361" t="str">
        <f t="shared" si="27"/>
        <v/>
      </c>
      <c r="AF80" s="219" t="str">
        <f t="shared" si="28"/>
        <v/>
      </c>
      <c r="AG80" s="379" t="str">
        <f>IF(D80="","",VLOOKUP(F80,'9. All Habitats + Multipliers'!$C$4:$K$102,5,FALSE))</f>
        <v/>
      </c>
      <c r="AH80" s="381" t="str">
        <f>IF(AG80="","",VLOOKUP(AG80,'11. Lists'!$B$47:$D$49,2,FALSE))</f>
        <v/>
      </c>
      <c r="AI80" s="214" t="str">
        <f t="shared" si="29"/>
        <v/>
      </c>
      <c r="AJ80" s="211" t="str">
        <f>IF(AI80="","",VLOOKUP(AI80,'11. Lists'!$F$47:$G$51,2,FALSE))</f>
        <v/>
      </c>
      <c r="AK80" s="364"/>
      <c r="AL80" s="365"/>
      <c r="AM80" s="366"/>
      <c r="AN80" s="214" t="str">
        <f t="shared" si="30"/>
        <v/>
      </c>
      <c r="AO80" s="215" t="str">
        <f>IF(AN80="","",VLOOKUP(AN80,'11. Lists'!$F$36:$H$38,2,FALSE))</f>
        <v/>
      </c>
      <c r="AP80" s="211" t="str">
        <f>IF(AN80="","",VLOOKUP(AN80,'11. Lists'!$F$36:$H$38,3,FALSE))</f>
        <v/>
      </c>
      <c r="AQ80" s="379" t="str">
        <f>IF(D80="","",IF(AX80="Distinctiveness","N/A",VLOOKUP(F80,'10. Condition and Temporal'!$B$6:$L$103,11,FALSE)))</f>
        <v/>
      </c>
      <c r="AR80" s="382" t="str">
        <f>IF(AQ80="","",IF(AQ80="N/A","1",VLOOKUP(AQ80,'11. Lists'!$I$47:$K$80,3,FALSE)))</f>
        <v/>
      </c>
      <c r="AS80" s="383" t="str">
        <f>IF(D80="","",IF(AX80="Condition","N/A",VLOOKUP(F80,'10. Condition and Temporal'!$B$6:$M$106,12,FALSE)))</f>
        <v/>
      </c>
      <c r="AT80" s="382" t="str">
        <f>IF(AS80="","",IF(AS80="N/A","1",VLOOKUP(AS80,'11. Lists'!$I$47:$K$80,3,FALSE)))</f>
        <v/>
      </c>
      <c r="AU80" s="379" t="str">
        <f>IF(D80="","",VLOOKUP(F80,'9. All Habitats + Multipliers'!$C$4:$K$102,8,FALSE))</f>
        <v/>
      </c>
      <c r="AV80" s="380" t="str">
        <f>IF(AU80="","",VLOOKUP(AU80,'11. Lists'!$J$35:$K$38,2,FALSE))</f>
        <v/>
      </c>
      <c r="AW80" s="361" t="str">
        <f>IF(D80="","",VLOOKUP(D80,'10. Condition and Temporal'!$B$6:$M$103,4,FALSE))</f>
        <v/>
      </c>
      <c r="AX80" s="361" t="str">
        <f t="shared" si="31"/>
        <v/>
      </c>
      <c r="AY80" s="384" t="str">
        <f t="shared" si="32"/>
        <v/>
      </c>
      <c r="AZ80" s="1"/>
      <c r="BA80" s="214">
        <v>13.0</v>
      </c>
      <c r="BB80" s="215" t="str">
        <f t="shared" si="33"/>
        <v/>
      </c>
      <c r="BC80" s="215" t="str">
        <f t="shared" si="34"/>
        <v/>
      </c>
      <c r="BD80" s="215" t="str">
        <f t="shared" si="35"/>
        <v/>
      </c>
      <c r="BE80" s="215" t="str">
        <f t="shared" si="36"/>
        <v/>
      </c>
      <c r="BF80" s="215" t="str">
        <f t="shared" si="37"/>
        <v/>
      </c>
      <c r="BG80" s="215" t="str">
        <f t="shared" si="38"/>
        <v/>
      </c>
      <c r="BH80" s="215" t="str">
        <f t="shared" si="39"/>
        <v/>
      </c>
      <c r="BI80" s="215" t="str">
        <f t="shared" si="40"/>
        <v/>
      </c>
      <c r="BJ80" s="215" t="str">
        <f t="shared" si="41"/>
        <v/>
      </c>
      <c r="BK80" s="215" t="str">
        <f t="shared" si="42"/>
        <v/>
      </c>
      <c r="BL80" s="215" t="str">
        <f t="shared" si="43"/>
        <v/>
      </c>
      <c r="BM80" s="215" t="str">
        <f t="shared" si="44"/>
        <v/>
      </c>
      <c r="BN80" s="215" t="str">
        <f t="shared" si="45"/>
        <v/>
      </c>
      <c r="BO80" s="215" t="str">
        <f t="shared" si="46"/>
        <v/>
      </c>
      <c r="BP80" s="215" t="str">
        <f t="shared" si="47"/>
        <v/>
      </c>
      <c r="BQ80" s="215" t="str">
        <f t="shared" si="48"/>
        <v/>
      </c>
      <c r="BR80" s="215" t="str">
        <f t="shared" si="49"/>
        <v/>
      </c>
      <c r="BS80" s="215" t="str">
        <f t="shared" si="50"/>
        <v/>
      </c>
      <c r="BT80" s="215" t="str">
        <f t="shared" si="51"/>
        <v/>
      </c>
      <c r="BU80" s="211" t="str">
        <f t="shared" si="52"/>
        <v/>
      </c>
      <c r="BV80" s="212" t="str">
        <f t="shared" si="53"/>
        <v/>
      </c>
      <c r="BW80" s="215" t="s">
        <v>198</v>
      </c>
      <c r="BX80" s="215">
        <f>BN66</f>
        <v>0</v>
      </c>
      <c r="BY80" s="1"/>
      <c r="BZ80" s="1"/>
      <c r="CA80" s="1"/>
      <c r="CB80" s="1"/>
      <c r="CC80" s="1"/>
      <c r="CD80" s="1"/>
      <c r="CE80" s="1"/>
      <c r="CF80" s="1"/>
      <c r="CG80" s="1"/>
      <c r="CH80" s="1"/>
      <c r="CI80" s="1"/>
      <c r="CJ80" s="1"/>
      <c r="CK80" s="1"/>
      <c r="CL80" s="1"/>
      <c r="CM80" s="1"/>
      <c r="CN80" s="1"/>
      <c r="CO80" s="1"/>
      <c r="CP80" s="1"/>
      <c r="CQ80" s="1"/>
      <c r="CR80" s="1"/>
    </row>
    <row r="81" ht="14.25" customHeight="1">
      <c r="A81" s="176"/>
      <c r="B81" s="221">
        <v>14.0</v>
      </c>
      <c r="C81" s="376" t="str">
        <f t="shared" si="14"/>
        <v/>
      </c>
      <c r="D81" s="352" t="str">
        <f t="shared" si="15"/>
        <v/>
      </c>
      <c r="E81" s="377" t="str">
        <f t="shared" si="16"/>
        <v/>
      </c>
      <c r="F81" s="222"/>
      <c r="G81" s="43"/>
      <c r="H81" s="354" t="str">
        <f t="shared" si="17"/>
        <v/>
      </c>
      <c r="I81" s="355" t="str">
        <f t="shared" si="18"/>
        <v/>
      </c>
      <c r="J81" s="356" t="str">
        <f>IFERROR(IF(F81="","",VLOOKUP(F81,'10. Condition and Temporal'!$B$6:$F$103,5,FALSE)), "Error ▲")</f>
        <v/>
      </c>
      <c r="K81" s="43"/>
      <c r="L81" s="357" t="str">
        <f t="shared" si="19"/>
        <v/>
      </c>
      <c r="M81" s="358" t="str">
        <f t="shared" si="20"/>
        <v/>
      </c>
      <c r="N81" s="359"/>
      <c r="O81" s="378"/>
      <c r="P81" s="300"/>
      <c r="Q81" s="1"/>
      <c r="R81" s="161"/>
      <c r="S81" s="1"/>
      <c r="T81" s="361" t="str">
        <f t="shared" si="21"/>
        <v/>
      </c>
      <c r="U81" s="379" t="str">
        <f t="shared" si="22"/>
        <v/>
      </c>
      <c r="V81" s="211" t="str">
        <f t="shared" ref="V81:X81" si="65">IF($D81="","",V24)</f>
        <v/>
      </c>
      <c r="W81" s="214" t="str">
        <f t="shared" si="65"/>
        <v/>
      </c>
      <c r="X81" s="211" t="str">
        <f t="shared" si="65"/>
        <v/>
      </c>
      <c r="Y81" s="364"/>
      <c r="Z81" s="365"/>
      <c r="AA81" s="366"/>
      <c r="AB81" s="214" t="str">
        <f t="shared" si="24"/>
        <v/>
      </c>
      <c r="AC81" s="380" t="str">
        <f t="shared" si="25"/>
        <v/>
      </c>
      <c r="AD81" s="361" t="str">
        <f t="shared" si="26"/>
        <v/>
      </c>
      <c r="AE81" s="361" t="str">
        <f t="shared" si="27"/>
        <v/>
      </c>
      <c r="AF81" s="219" t="str">
        <f t="shared" si="28"/>
        <v/>
      </c>
      <c r="AG81" s="379" t="str">
        <f>IF(D81="","",VLOOKUP(F81,'9. All Habitats + Multipliers'!$C$4:$K$102,5,FALSE))</f>
        <v/>
      </c>
      <c r="AH81" s="381" t="str">
        <f>IF(AG81="","",VLOOKUP(AG81,'11. Lists'!$B$47:$D$49,2,FALSE))</f>
        <v/>
      </c>
      <c r="AI81" s="214" t="str">
        <f t="shared" si="29"/>
        <v/>
      </c>
      <c r="AJ81" s="211" t="str">
        <f>IF(AI81="","",VLOOKUP(AI81,'11. Lists'!$F$47:$G$51,2,FALSE))</f>
        <v/>
      </c>
      <c r="AK81" s="364"/>
      <c r="AL81" s="365"/>
      <c r="AM81" s="366"/>
      <c r="AN81" s="214" t="str">
        <f t="shared" si="30"/>
        <v/>
      </c>
      <c r="AO81" s="215" t="str">
        <f>IF(AN81="","",VLOOKUP(AN81,'11. Lists'!$F$36:$H$38,2,FALSE))</f>
        <v/>
      </c>
      <c r="AP81" s="211" t="str">
        <f>IF(AN81="","",VLOOKUP(AN81,'11. Lists'!$F$36:$H$38,3,FALSE))</f>
        <v/>
      </c>
      <c r="AQ81" s="379" t="str">
        <f>IF(D81="","",IF(AX81="Distinctiveness","N/A",VLOOKUP(F81,'10. Condition and Temporal'!$B$6:$L$103,11,FALSE)))</f>
        <v/>
      </c>
      <c r="AR81" s="382" t="str">
        <f>IF(AQ81="","",IF(AQ81="N/A","1",VLOOKUP(AQ81,'11. Lists'!$I$47:$K$80,3,FALSE)))</f>
        <v/>
      </c>
      <c r="AS81" s="383" t="str">
        <f>IF(D81="","",IF(AX81="Condition","N/A",VLOOKUP(F81,'10. Condition and Temporal'!$B$6:$M$106,12,FALSE)))</f>
        <v/>
      </c>
      <c r="AT81" s="382" t="str">
        <f>IF(AS81="","",IF(AS81="N/A","1",VLOOKUP(AS81,'11. Lists'!$I$47:$K$80,3,FALSE)))</f>
        <v/>
      </c>
      <c r="AU81" s="379" t="str">
        <f>IF(D81="","",VLOOKUP(F81,'9. All Habitats + Multipliers'!$C$4:$K$102,8,FALSE))</f>
        <v/>
      </c>
      <c r="AV81" s="380" t="str">
        <f>IF(AU81="","",VLOOKUP(AU81,'11. Lists'!$J$35:$K$38,2,FALSE))</f>
        <v/>
      </c>
      <c r="AW81" s="361" t="str">
        <f>IF(D81="","",VLOOKUP(D81,'10. Condition and Temporal'!$B$6:$M$103,4,FALSE))</f>
        <v/>
      </c>
      <c r="AX81" s="361" t="str">
        <f t="shared" si="31"/>
        <v/>
      </c>
      <c r="AY81" s="384" t="str">
        <f t="shared" si="32"/>
        <v/>
      </c>
      <c r="AZ81" s="1"/>
      <c r="BA81" s="214">
        <v>14.0</v>
      </c>
      <c r="BB81" s="215" t="str">
        <f t="shared" si="33"/>
        <v/>
      </c>
      <c r="BC81" s="215" t="str">
        <f t="shared" si="34"/>
        <v/>
      </c>
      <c r="BD81" s="215" t="str">
        <f t="shared" si="35"/>
        <v/>
      </c>
      <c r="BE81" s="215" t="str">
        <f t="shared" si="36"/>
        <v/>
      </c>
      <c r="BF81" s="215" t="str">
        <f t="shared" si="37"/>
        <v/>
      </c>
      <c r="BG81" s="215" t="str">
        <f t="shared" si="38"/>
        <v/>
      </c>
      <c r="BH81" s="215" t="str">
        <f t="shared" si="39"/>
        <v/>
      </c>
      <c r="BI81" s="215" t="str">
        <f t="shared" si="40"/>
        <v/>
      </c>
      <c r="BJ81" s="215" t="str">
        <f t="shared" si="41"/>
        <v/>
      </c>
      <c r="BK81" s="215" t="str">
        <f t="shared" si="42"/>
        <v/>
      </c>
      <c r="BL81" s="215" t="str">
        <f t="shared" si="43"/>
        <v/>
      </c>
      <c r="BM81" s="215" t="str">
        <f t="shared" si="44"/>
        <v/>
      </c>
      <c r="BN81" s="215" t="str">
        <f t="shared" si="45"/>
        <v/>
      </c>
      <c r="BO81" s="215" t="str">
        <f t="shared" si="46"/>
        <v/>
      </c>
      <c r="BP81" s="215" t="str">
        <f t="shared" si="47"/>
        <v/>
      </c>
      <c r="BQ81" s="215" t="str">
        <f t="shared" si="48"/>
        <v/>
      </c>
      <c r="BR81" s="215" t="str">
        <f t="shared" si="49"/>
        <v/>
      </c>
      <c r="BS81" s="215" t="str">
        <f t="shared" si="50"/>
        <v/>
      </c>
      <c r="BT81" s="215" t="str">
        <f t="shared" si="51"/>
        <v/>
      </c>
      <c r="BU81" s="211" t="str">
        <f t="shared" si="52"/>
        <v/>
      </c>
      <c r="BV81" s="212" t="str">
        <f t="shared" si="53"/>
        <v/>
      </c>
      <c r="BW81" s="215" t="s">
        <v>199</v>
      </c>
      <c r="BX81" s="215">
        <f>BO66</f>
        <v>0</v>
      </c>
      <c r="BY81" s="1"/>
      <c r="BZ81" s="1"/>
      <c r="CA81" s="1"/>
      <c r="CB81" s="1"/>
      <c r="CC81" s="1"/>
      <c r="CD81" s="1"/>
      <c r="CE81" s="1"/>
      <c r="CF81" s="1"/>
      <c r="CG81" s="1"/>
      <c r="CH81" s="1"/>
      <c r="CI81" s="1"/>
      <c r="CJ81" s="1"/>
      <c r="CK81" s="1"/>
      <c r="CL81" s="1"/>
      <c r="CM81" s="1"/>
      <c r="CN81" s="1"/>
      <c r="CO81" s="1"/>
      <c r="CP81" s="1"/>
      <c r="CQ81" s="1"/>
      <c r="CR81" s="1"/>
    </row>
    <row r="82" ht="14.25" customHeight="1">
      <c r="A82" s="176"/>
      <c r="B82" s="221">
        <v>15.0</v>
      </c>
      <c r="C82" s="376" t="str">
        <f t="shared" si="14"/>
        <v/>
      </c>
      <c r="D82" s="352" t="str">
        <f t="shared" si="15"/>
        <v/>
      </c>
      <c r="E82" s="377" t="str">
        <f t="shared" si="16"/>
        <v/>
      </c>
      <c r="F82" s="222"/>
      <c r="G82" s="43"/>
      <c r="H82" s="354" t="str">
        <f t="shared" si="17"/>
        <v/>
      </c>
      <c r="I82" s="355" t="str">
        <f t="shared" si="18"/>
        <v/>
      </c>
      <c r="J82" s="356" t="str">
        <f>IFERROR(IF(F82="","",VLOOKUP(F82,'10. Condition and Temporal'!$B$6:$F$103,5,FALSE)), "Error ▲")</f>
        <v/>
      </c>
      <c r="K82" s="43"/>
      <c r="L82" s="357" t="str">
        <f t="shared" si="19"/>
        <v/>
      </c>
      <c r="M82" s="358" t="str">
        <f t="shared" si="20"/>
        <v/>
      </c>
      <c r="N82" s="359"/>
      <c r="O82" s="378"/>
      <c r="P82" s="300"/>
      <c r="Q82" s="1"/>
      <c r="R82" s="161"/>
      <c r="S82" s="1"/>
      <c r="T82" s="361" t="str">
        <f t="shared" si="21"/>
        <v/>
      </c>
      <c r="U82" s="379" t="str">
        <f t="shared" si="22"/>
        <v/>
      </c>
      <c r="V82" s="211" t="str">
        <f t="shared" ref="V82:X82" si="66">IF($D82="","",V25)</f>
        <v/>
      </c>
      <c r="W82" s="214" t="str">
        <f t="shared" si="66"/>
        <v/>
      </c>
      <c r="X82" s="211" t="str">
        <f t="shared" si="66"/>
        <v/>
      </c>
      <c r="Y82" s="364"/>
      <c r="Z82" s="365"/>
      <c r="AA82" s="366"/>
      <c r="AB82" s="214" t="str">
        <f t="shared" si="24"/>
        <v/>
      </c>
      <c r="AC82" s="380" t="str">
        <f t="shared" si="25"/>
        <v/>
      </c>
      <c r="AD82" s="361" t="str">
        <f t="shared" si="26"/>
        <v/>
      </c>
      <c r="AE82" s="361" t="str">
        <f t="shared" si="27"/>
        <v/>
      </c>
      <c r="AF82" s="219" t="str">
        <f t="shared" si="28"/>
        <v/>
      </c>
      <c r="AG82" s="379" t="str">
        <f>IF(D82="","",VLOOKUP(F82,'9. All Habitats + Multipliers'!$C$4:$K$102,5,FALSE))</f>
        <v/>
      </c>
      <c r="AH82" s="381" t="str">
        <f>IF(AG82="","",VLOOKUP(AG82,'11. Lists'!$B$47:$D$49,2,FALSE))</f>
        <v/>
      </c>
      <c r="AI82" s="214" t="str">
        <f t="shared" si="29"/>
        <v/>
      </c>
      <c r="AJ82" s="211" t="str">
        <f>IF(AI82="","",VLOOKUP(AI82,'11. Lists'!$F$47:$G$51,2,FALSE))</f>
        <v/>
      </c>
      <c r="AK82" s="364"/>
      <c r="AL82" s="365"/>
      <c r="AM82" s="366"/>
      <c r="AN82" s="214" t="str">
        <f t="shared" si="30"/>
        <v/>
      </c>
      <c r="AO82" s="215" t="str">
        <f>IF(AN82="","",VLOOKUP(AN82,'11. Lists'!$F$36:$H$38,2,FALSE))</f>
        <v/>
      </c>
      <c r="AP82" s="211" t="str">
        <f>IF(AN82="","",VLOOKUP(AN82,'11. Lists'!$F$36:$H$38,3,FALSE))</f>
        <v/>
      </c>
      <c r="AQ82" s="379" t="str">
        <f>IF(D82="","",IF(AX82="Distinctiveness","N/A",VLOOKUP(F82,'10. Condition and Temporal'!$B$6:$L$103,11,FALSE)))</f>
        <v/>
      </c>
      <c r="AR82" s="382" t="str">
        <f>IF(AQ82="","",IF(AQ82="N/A","1",VLOOKUP(AQ82,'11. Lists'!$I$47:$K$80,3,FALSE)))</f>
        <v/>
      </c>
      <c r="AS82" s="383" t="str">
        <f>IF(D82="","",IF(AX82="Condition","N/A",VLOOKUP(F82,'10. Condition and Temporal'!$B$6:$M$106,12,FALSE)))</f>
        <v/>
      </c>
      <c r="AT82" s="382" t="str">
        <f>IF(AS82="","",IF(AS82="N/A","1",VLOOKUP(AS82,'11. Lists'!$I$47:$K$80,3,FALSE)))</f>
        <v/>
      </c>
      <c r="AU82" s="379" t="str">
        <f>IF(D82="","",VLOOKUP(F82,'9. All Habitats + Multipliers'!$C$4:$K$102,8,FALSE))</f>
        <v/>
      </c>
      <c r="AV82" s="380" t="str">
        <f>IF(AU82="","",VLOOKUP(AU82,'11. Lists'!$J$35:$K$38,2,FALSE))</f>
        <v/>
      </c>
      <c r="AW82" s="361" t="str">
        <f>IF(D82="","",VLOOKUP(D82,'10. Condition and Temporal'!$B$6:$M$103,4,FALSE))</f>
        <v/>
      </c>
      <c r="AX82" s="361" t="str">
        <f t="shared" si="31"/>
        <v/>
      </c>
      <c r="AY82" s="384" t="str">
        <f t="shared" si="32"/>
        <v/>
      </c>
      <c r="AZ82" s="1"/>
      <c r="BA82" s="214">
        <v>15.0</v>
      </c>
      <c r="BB82" s="215" t="str">
        <f t="shared" si="33"/>
        <v/>
      </c>
      <c r="BC82" s="215" t="str">
        <f t="shared" si="34"/>
        <v/>
      </c>
      <c r="BD82" s="215" t="str">
        <f t="shared" si="35"/>
        <v/>
      </c>
      <c r="BE82" s="215" t="str">
        <f t="shared" si="36"/>
        <v/>
      </c>
      <c r="BF82" s="215" t="str">
        <f t="shared" si="37"/>
        <v/>
      </c>
      <c r="BG82" s="215" t="str">
        <f t="shared" si="38"/>
        <v/>
      </c>
      <c r="BH82" s="215" t="str">
        <f t="shared" si="39"/>
        <v/>
      </c>
      <c r="BI82" s="215" t="str">
        <f t="shared" si="40"/>
        <v/>
      </c>
      <c r="BJ82" s="215" t="str">
        <f t="shared" si="41"/>
        <v/>
      </c>
      <c r="BK82" s="215" t="str">
        <f t="shared" si="42"/>
        <v/>
      </c>
      <c r="BL82" s="215" t="str">
        <f t="shared" si="43"/>
        <v/>
      </c>
      <c r="BM82" s="215" t="str">
        <f t="shared" si="44"/>
        <v/>
      </c>
      <c r="BN82" s="215" t="str">
        <f t="shared" si="45"/>
        <v/>
      </c>
      <c r="BO82" s="215" t="str">
        <f t="shared" si="46"/>
        <v/>
      </c>
      <c r="BP82" s="215" t="str">
        <f t="shared" si="47"/>
        <v/>
      </c>
      <c r="BQ82" s="215" t="str">
        <f t="shared" si="48"/>
        <v/>
      </c>
      <c r="BR82" s="215" t="str">
        <f t="shared" si="49"/>
        <v/>
      </c>
      <c r="BS82" s="215" t="str">
        <f t="shared" si="50"/>
        <v/>
      </c>
      <c r="BT82" s="215" t="str">
        <f t="shared" si="51"/>
        <v/>
      </c>
      <c r="BU82" s="211" t="str">
        <f t="shared" si="52"/>
        <v/>
      </c>
      <c r="BV82" s="212" t="str">
        <f t="shared" si="53"/>
        <v/>
      </c>
      <c r="BW82" s="215" t="s">
        <v>200</v>
      </c>
      <c r="BX82" s="215">
        <f>BP66</f>
        <v>0</v>
      </c>
      <c r="BY82" s="1"/>
      <c r="BZ82" s="1"/>
      <c r="CA82" s="1"/>
      <c r="CB82" s="1"/>
      <c r="CC82" s="1"/>
      <c r="CD82" s="1"/>
      <c r="CE82" s="1"/>
      <c r="CF82" s="1"/>
      <c r="CG82" s="1"/>
      <c r="CH82" s="1"/>
      <c r="CI82" s="1"/>
      <c r="CJ82" s="1"/>
      <c r="CK82" s="1"/>
      <c r="CL82" s="1"/>
      <c r="CM82" s="1"/>
      <c r="CN82" s="1"/>
      <c r="CO82" s="1"/>
      <c r="CP82" s="1"/>
      <c r="CQ82" s="1"/>
      <c r="CR82" s="1"/>
    </row>
    <row r="83" ht="14.25" customHeight="1">
      <c r="A83" s="176"/>
      <c r="B83" s="221">
        <v>16.0</v>
      </c>
      <c r="C83" s="376" t="str">
        <f t="shared" si="14"/>
        <v/>
      </c>
      <c r="D83" s="352" t="str">
        <f t="shared" si="15"/>
        <v/>
      </c>
      <c r="E83" s="377" t="str">
        <f t="shared" si="16"/>
        <v/>
      </c>
      <c r="F83" s="222"/>
      <c r="G83" s="43"/>
      <c r="H83" s="354" t="str">
        <f t="shared" si="17"/>
        <v/>
      </c>
      <c r="I83" s="355" t="str">
        <f t="shared" si="18"/>
        <v/>
      </c>
      <c r="J83" s="356" t="str">
        <f>IFERROR(IF(F83="","",VLOOKUP(F83,'10. Condition and Temporal'!$B$6:$F$103,5,FALSE)), "Error ▲")</f>
        <v/>
      </c>
      <c r="K83" s="43"/>
      <c r="L83" s="357" t="str">
        <f t="shared" si="19"/>
        <v/>
      </c>
      <c r="M83" s="358" t="str">
        <f t="shared" si="20"/>
        <v/>
      </c>
      <c r="N83" s="359"/>
      <c r="O83" s="378"/>
      <c r="P83" s="300"/>
      <c r="Q83" s="1"/>
      <c r="R83" s="161"/>
      <c r="S83" s="1"/>
      <c r="T83" s="361" t="str">
        <f t="shared" si="21"/>
        <v/>
      </c>
      <c r="U83" s="379" t="str">
        <f t="shared" si="22"/>
        <v/>
      </c>
      <c r="V83" s="211" t="str">
        <f t="shared" ref="V83:X83" si="67">IF($D83="","",V26)</f>
        <v/>
      </c>
      <c r="W83" s="214" t="str">
        <f t="shared" si="67"/>
        <v/>
      </c>
      <c r="X83" s="211" t="str">
        <f t="shared" si="67"/>
        <v/>
      </c>
      <c r="Y83" s="364"/>
      <c r="Z83" s="365"/>
      <c r="AA83" s="366"/>
      <c r="AB83" s="214" t="str">
        <f t="shared" si="24"/>
        <v/>
      </c>
      <c r="AC83" s="380" t="str">
        <f t="shared" si="25"/>
        <v/>
      </c>
      <c r="AD83" s="361" t="str">
        <f t="shared" si="26"/>
        <v/>
      </c>
      <c r="AE83" s="361" t="str">
        <f t="shared" si="27"/>
        <v/>
      </c>
      <c r="AF83" s="219" t="str">
        <f t="shared" si="28"/>
        <v/>
      </c>
      <c r="AG83" s="379" t="str">
        <f>IF(D83="","",VLOOKUP(F83,'9. All Habitats + Multipliers'!$C$4:$K$102,5,FALSE))</f>
        <v/>
      </c>
      <c r="AH83" s="381" t="str">
        <f>IF(AG83="","",VLOOKUP(AG83,'11. Lists'!$B$47:$D$49,2,FALSE))</f>
        <v/>
      </c>
      <c r="AI83" s="214" t="str">
        <f t="shared" si="29"/>
        <v/>
      </c>
      <c r="AJ83" s="211" t="str">
        <f>IF(AI83="","",VLOOKUP(AI83,'11. Lists'!$F$47:$G$51,2,FALSE))</f>
        <v/>
      </c>
      <c r="AK83" s="364"/>
      <c r="AL83" s="365"/>
      <c r="AM83" s="366"/>
      <c r="AN83" s="214" t="str">
        <f t="shared" si="30"/>
        <v/>
      </c>
      <c r="AO83" s="215" t="str">
        <f>IF(AN83="","",VLOOKUP(AN83,'11. Lists'!$F$36:$H$38,2,FALSE))</f>
        <v/>
      </c>
      <c r="AP83" s="211" t="str">
        <f>IF(AN83="","",VLOOKUP(AN83,'11. Lists'!$F$36:$H$38,3,FALSE))</f>
        <v/>
      </c>
      <c r="AQ83" s="379" t="str">
        <f>IF(D83="","",IF(AX83="Distinctiveness","N/A",VLOOKUP(F83,'10. Condition and Temporal'!$B$6:$L$103,11,FALSE)))</f>
        <v/>
      </c>
      <c r="AR83" s="382" t="str">
        <f>IF(AQ83="","",IF(AQ83="N/A","1",VLOOKUP(AQ83,'11. Lists'!$I$47:$K$80,3,FALSE)))</f>
        <v/>
      </c>
      <c r="AS83" s="383" t="str">
        <f>IF(D83="","",IF(AX83="Condition","N/A",VLOOKUP(F83,'10. Condition and Temporal'!$B$6:$M$106,12,FALSE)))</f>
        <v/>
      </c>
      <c r="AT83" s="382" t="str">
        <f>IF(AS83="","",IF(AS83="N/A","1",VLOOKUP(AS83,'11. Lists'!$I$47:$K$80,3,FALSE)))</f>
        <v/>
      </c>
      <c r="AU83" s="379" t="str">
        <f>IF(D83="","",VLOOKUP(F83,'9. All Habitats + Multipliers'!$C$4:$K$102,8,FALSE))</f>
        <v/>
      </c>
      <c r="AV83" s="380" t="str">
        <f>IF(AU83="","",VLOOKUP(AU83,'11. Lists'!$J$35:$K$38,2,FALSE))</f>
        <v/>
      </c>
      <c r="AW83" s="361" t="str">
        <f>IF(D83="","",VLOOKUP(D83,'10. Condition and Temporal'!$B$6:$M$103,4,FALSE))</f>
        <v/>
      </c>
      <c r="AX83" s="361" t="str">
        <f t="shared" si="31"/>
        <v/>
      </c>
      <c r="AY83" s="384" t="str">
        <f t="shared" si="32"/>
        <v/>
      </c>
      <c r="AZ83" s="1"/>
      <c r="BA83" s="214">
        <v>16.0</v>
      </c>
      <c r="BB83" s="215" t="str">
        <f t="shared" si="33"/>
        <v/>
      </c>
      <c r="BC83" s="215" t="str">
        <f t="shared" si="34"/>
        <v/>
      </c>
      <c r="BD83" s="215" t="str">
        <f t="shared" si="35"/>
        <v/>
      </c>
      <c r="BE83" s="215" t="str">
        <f t="shared" si="36"/>
        <v/>
      </c>
      <c r="BF83" s="215" t="str">
        <f t="shared" si="37"/>
        <v/>
      </c>
      <c r="BG83" s="215" t="str">
        <f t="shared" si="38"/>
        <v/>
      </c>
      <c r="BH83" s="215" t="str">
        <f t="shared" si="39"/>
        <v/>
      </c>
      <c r="BI83" s="215" t="str">
        <f t="shared" si="40"/>
        <v/>
      </c>
      <c r="BJ83" s="215" t="str">
        <f t="shared" si="41"/>
        <v/>
      </c>
      <c r="BK83" s="215" t="str">
        <f t="shared" si="42"/>
        <v/>
      </c>
      <c r="BL83" s="215" t="str">
        <f t="shared" si="43"/>
        <v/>
      </c>
      <c r="BM83" s="215" t="str">
        <f t="shared" si="44"/>
        <v/>
      </c>
      <c r="BN83" s="215" t="str">
        <f t="shared" si="45"/>
        <v/>
      </c>
      <c r="BO83" s="215" t="str">
        <f t="shared" si="46"/>
        <v/>
      </c>
      <c r="BP83" s="215" t="str">
        <f t="shared" si="47"/>
        <v/>
      </c>
      <c r="BQ83" s="215" t="str">
        <f t="shared" si="48"/>
        <v/>
      </c>
      <c r="BR83" s="215" t="str">
        <f t="shared" si="49"/>
        <v/>
      </c>
      <c r="BS83" s="215" t="str">
        <f t="shared" si="50"/>
        <v/>
      </c>
      <c r="BT83" s="215" t="str">
        <f t="shared" si="51"/>
        <v/>
      </c>
      <c r="BU83" s="211" t="str">
        <f t="shared" si="52"/>
        <v/>
      </c>
      <c r="BV83" s="212" t="str">
        <f t="shared" si="53"/>
        <v/>
      </c>
      <c r="BW83" s="215" t="s">
        <v>201</v>
      </c>
      <c r="BX83" s="215">
        <f>BQ66</f>
        <v>0</v>
      </c>
      <c r="BY83" s="1"/>
      <c r="BZ83" s="1"/>
      <c r="CA83" s="1"/>
      <c r="CB83" s="1"/>
      <c r="CC83" s="1"/>
      <c r="CD83" s="1"/>
      <c r="CE83" s="1"/>
      <c r="CF83" s="1"/>
      <c r="CG83" s="1"/>
      <c r="CH83" s="1"/>
      <c r="CI83" s="1"/>
      <c r="CJ83" s="1"/>
      <c r="CK83" s="1"/>
      <c r="CL83" s="1"/>
      <c r="CM83" s="1"/>
      <c r="CN83" s="1"/>
      <c r="CO83" s="1"/>
      <c r="CP83" s="1"/>
      <c r="CQ83" s="1"/>
      <c r="CR83" s="1"/>
    </row>
    <row r="84" ht="14.25" customHeight="1">
      <c r="A84" s="176"/>
      <c r="B84" s="221">
        <v>17.0</v>
      </c>
      <c r="C84" s="376" t="str">
        <f t="shared" si="14"/>
        <v/>
      </c>
      <c r="D84" s="352" t="str">
        <f t="shared" si="15"/>
        <v/>
      </c>
      <c r="E84" s="377" t="str">
        <f t="shared" si="16"/>
        <v/>
      </c>
      <c r="F84" s="222"/>
      <c r="G84" s="43"/>
      <c r="H84" s="354" t="str">
        <f t="shared" si="17"/>
        <v/>
      </c>
      <c r="I84" s="355" t="str">
        <f t="shared" si="18"/>
        <v/>
      </c>
      <c r="J84" s="356" t="str">
        <f>IFERROR(IF(F84="","",VLOOKUP(F84,'10. Condition and Temporal'!$B$6:$F$103,5,FALSE)), "Error ▲")</f>
        <v/>
      </c>
      <c r="K84" s="43"/>
      <c r="L84" s="357" t="str">
        <f t="shared" si="19"/>
        <v/>
      </c>
      <c r="M84" s="358" t="str">
        <f t="shared" si="20"/>
        <v/>
      </c>
      <c r="N84" s="359"/>
      <c r="O84" s="378"/>
      <c r="P84" s="300"/>
      <c r="Q84" s="1"/>
      <c r="R84" s="161"/>
      <c r="S84" s="1"/>
      <c r="T84" s="361" t="str">
        <f t="shared" si="21"/>
        <v/>
      </c>
      <c r="U84" s="379" t="str">
        <f t="shared" si="22"/>
        <v/>
      </c>
      <c r="V84" s="211" t="str">
        <f t="shared" ref="V84:X84" si="68">IF($D84="","",V27)</f>
        <v/>
      </c>
      <c r="W84" s="214" t="str">
        <f t="shared" si="68"/>
        <v/>
      </c>
      <c r="X84" s="211" t="str">
        <f t="shared" si="68"/>
        <v/>
      </c>
      <c r="Y84" s="364"/>
      <c r="Z84" s="365"/>
      <c r="AA84" s="366"/>
      <c r="AB84" s="214" t="str">
        <f t="shared" si="24"/>
        <v/>
      </c>
      <c r="AC84" s="380" t="str">
        <f t="shared" si="25"/>
        <v/>
      </c>
      <c r="AD84" s="361" t="str">
        <f t="shared" si="26"/>
        <v/>
      </c>
      <c r="AE84" s="361" t="str">
        <f t="shared" si="27"/>
        <v/>
      </c>
      <c r="AF84" s="219" t="str">
        <f t="shared" si="28"/>
        <v/>
      </c>
      <c r="AG84" s="379" t="str">
        <f>IF(D84="","",VLOOKUP(F84,'9. All Habitats + Multipliers'!$C$4:$K$102,5,FALSE))</f>
        <v/>
      </c>
      <c r="AH84" s="381" t="str">
        <f>IF(AG84="","",VLOOKUP(AG84,'11. Lists'!$B$47:$D$49,2,FALSE))</f>
        <v/>
      </c>
      <c r="AI84" s="214" t="str">
        <f t="shared" si="29"/>
        <v/>
      </c>
      <c r="AJ84" s="211" t="str">
        <f>IF(AI84="","",VLOOKUP(AI84,'11. Lists'!$F$47:$G$51,2,FALSE))</f>
        <v/>
      </c>
      <c r="AK84" s="364"/>
      <c r="AL84" s="365"/>
      <c r="AM84" s="366"/>
      <c r="AN84" s="214" t="str">
        <f t="shared" si="30"/>
        <v/>
      </c>
      <c r="AO84" s="215" t="str">
        <f>IF(AN84="","",VLOOKUP(AN84,'11. Lists'!$F$36:$H$38,2,FALSE))</f>
        <v/>
      </c>
      <c r="AP84" s="211" t="str">
        <f>IF(AN84="","",VLOOKUP(AN84,'11. Lists'!$F$36:$H$38,3,FALSE))</f>
        <v/>
      </c>
      <c r="AQ84" s="379" t="str">
        <f>IF(D84="","",IF(AX84="Distinctiveness","N/A",VLOOKUP(F84,'10. Condition and Temporal'!$B$6:$L$103,11,FALSE)))</f>
        <v/>
      </c>
      <c r="AR84" s="382" t="str">
        <f>IF(AQ84="","",IF(AQ84="N/A","1",VLOOKUP(AQ84,'11. Lists'!$I$47:$K$80,3,FALSE)))</f>
        <v/>
      </c>
      <c r="AS84" s="383" t="str">
        <f>IF(D84="","",IF(AX84="Condition","N/A",VLOOKUP(F84,'10. Condition and Temporal'!$B$6:$M$106,12,FALSE)))</f>
        <v/>
      </c>
      <c r="AT84" s="382" t="str">
        <f>IF(AS84="","",IF(AS84="N/A","1",VLOOKUP(AS84,'11. Lists'!$I$47:$K$80,3,FALSE)))</f>
        <v/>
      </c>
      <c r="AU84" s="379" t="str">
        <f>IF(D84="","",VLOOKUP(F84,'9. All Habitats + Multipliers'!$C$4:$K$102,8,FALSE))</f>
        <v/>
      </c>
      <c r="AV84" s="380" t="str">
        <f>IF(AU84="","",VLOOKUP(AU84,'11. Lists'!$J$35:$K$38,2,FALSE))</f>
        <v/>
      </c>
      <c r="AW84" s="361" t="str">
        <f>IF(D84="","",VLOOKUP(D84,'10. Condition and Temporal'!$B$6:$M$103,4,FALSE))</f>
        <v/>
      </c>
      <c r="AX84" s="361" t="str">
        <f t="shared" si="31"/>
        <v/>
      </c>
      <c r="AY84" s="384" t="str">
        <f t="shared" si="32"/>
        <v/>
      </c>
      <c r="AZ84" s="1"/>
      <c r="BA84" s="214">
        <v>17.0</v>
      </c>
      <c r="BB84" s="215" t="str">
        <f t="shared" si="33"/>
        <v/>
      </c>
      <c r="BC84" s="215" t="str">
        <f t="shared" si="34"/>
        <v/>
      </c>
      <c r="BD84" s="215" t="str">
        <f t="shared" si="35"/>
        <v/>
      </c>
      <c r="BE84" s="215" t="str">
        <f t="shared" si="36"/>
        <v/>
      </c>
      <c r="BF84" s="215" t="str">
        <f t="shared" si="37"/>
        <v/>
      </c>
      <c r="BG84" s="215" t="str">
        <f t="shared" si="38"/>
        <v/>
      </c>
      <c r="BH84" s="215" t="str">
        <f t="shared" si="39"/>
        <v/>
      </c>
      <c r="BI84" s="215" t="str">
        <f t="shared" si="40"/>
        <v/>
      </c>
      <c r="BJ84" s="215" t="str">
        <f t="shared" si="41"/>
        <v/>
      </c>
      <c r="BK84" s="215" t="str">
        <f t="shared" si="42"/>
        <v/>
      </c>
      <c r="BL84" s="215" t="str">
        <f t="shared" si="43"/>
        <v/>
      </c>
      <c r="BM84" s="215" t="str">
        <f t="shared" si="44"/>
        <v/>
      </c>
      <c r="BN84" s="215" t="str">
        <f t="shared" si="45"/>
        <v/>
      </c>
      <c r="BO84" s="215" t="str">
        <f t="shared" si="46"/>
        <v/>
      </c>
      <c r="BP84" s="215" t="str">
        <f t="shared" si="47"/>
        <v/>
      </c>
      <c r="BQ84" s="215" t="str">
        <f t="shared" si="48"/>
        <v/>
      </c>
      <c r="BR84" s="215" t="str">
        <f t="shared" si="49"/>
        <v/>
      </c>
      <c r="BS84" s="215" t="str">
        <f t="shared" si="50"/>
        <v/>
      </c>
      <c r="BT84" s="215" t="str">
        <f t="shared" si="51"/>
        <v/>
      </c>
      <c r="BU84" s="211" t="str">
        <f t="shared" si="52"/>
        <v/>
      </c>
      <c r="BV84" s="212" t="str">
        <f t="shared" si="53"/>
        <v/>
      </c>
      <c r="BW84" s="215" t="s">
        <v>202</v>
      </c>
      <c r="BX84" s="215">
        <f>BR66</f>
        <v>0</v>
      </c>
      <c r="BY84" s="1"/>
      <c r="BZ84" s="1"/>
      <c r="CA84" s="1"/>
      <c r="CB84" s="1"/>
      <c r="CC84" s="1"/>
      <c r="CD84" s="1"/>
      <c r="CE84" s="1"/>
      <c r="CF84" s="1"/>
      <c r="CG84" s="1"/>
      <c r="CH84" s="1"/>
      <c r="CI84" s="1"/>
      <c r="CJ84" s="1"/>
      <c r="CK84" s="1"/>
      <c r="CL84" s="1"/>
      <c r="CM84" s="1"/>
      <c r="CN84" s="1"/>
      <c r="CO84" s="1"/>
      <c r="CP84" s="1"/>
      <c r="CQ84" s="1"/>
      <c r="CR84" s="1"/>
    </row>
    <row r="85" ht="14.25" customHeight="1">
      <c r="A85" s="176"/>
      <c r="B85" s="221">
        <v>18.0</v>
      </c>
      <c r="C85" s="376" t="str">
        <f t="shared" si="14"/>
        <v/>
      </c>
      <c r="D85" s="352" t="str">
        <f t="shared" si="15"/>
        <v/>
      </c>
      <c r="E85" s="377" t="str">
        <f t="shared" si="16"/>
        <v/>
      </c>
      <c r="F85" s="222"/>
      <c r="G85" s="43"/>
      <c r="H85" s="354" t="str">
        <f t="shared" si="17"/>
        <v/>
      </c>
      <c r="I85" s="355" t="str">
        <f t="shared" si="18"/>
        <v/>
      </c>
      <c r="J85" s="356" t="str">
        <f>IFERROR(IF(F85="","",VLOOKUP(F85,'10. Condition and Temporal'!$B$6:$F$103,5,FALSE)), "Error ▲")</f>
        <v/>
      </c>
      <c r="K85" s="43"/>
      <c r="L85" s="357" t="str">
        <f t="shared" si="19"/>
        <v/>
      </c>
      <c r="M85" s="358" t="str">
        <f t="shared" si="20"/>
        <v/>
      </c>
      <c r="N85" s="359"/>
      <c r="O85" s="378"/>
      <c r="P85" s="300"/>
      <c r="Q85" s="1"/>
      <c r="R85" s="161"/>
      <c r="S85" s="1"/>
      <c r="T85" s="361" t="str">
        <f t="shared" si="21"/>
        <v/>
      </c>
      <c r="U85" s="379" t="str">
        <f t="shared" si="22"/>
        <v/>
      </c>
      <c r="V85" s="211" t="str">
        <f t="shared" ref="V85:X85" si="69">IF($D85="","",V28)</f>
        <v/>
      </c>
      <c r="W85" s="214" t="str">
        <f t="shared" si="69"/>
        <v/>
      </c>
      <c r="X85" s="211" t="str">
        <f t="shared" si="69"/>
        <v/>
      </c>
      <c r="Y85" s="364"/>
      <c r="Z85" s="365"/>
      <c r="AA85" s="366"/>
      <c r="AB85" s="214" t="str">
        <f t="shared" si="24"/>
        <v/>
      </c>
      <c r="AC85" s="380" t="str">
        <f t="shared" si="25"/>
        <v/>
      </c>
      <c r="AD85" s="361" t="str">
        <f t="shared" si="26"/>
        <v/>
      </c>
      <c r="AE85" s="361" t="str">
        <f t="shared" si="27"/>
        <v/>
      </c>
      <c r="AF85" s="219" t="str">
        <f t="shared" si="28"/>
        <v/>
      </c>
      <c r="AG85" s="379" t="str">
        <f>IF(D85="","",VLOOKUP(F85,'9. All Habitats + Multipliers'!$C$4:$K$102,5,FALSE))</f>
        <v/>
      </c>
      <c r="AH85" s="381" t="str">
        <f>IF(AG85="","",VLOOKUP(AG85,'11. Lists'!$B$47:$D$49,2,FALSE))</f>
        <v/>
      </c>
      <c r="AI85" s="214" t="str">
        <f t="shared" si="29"/>
        <v/>
      </c>
      <c r="AJ85" s="211" t="str">
        <f>IF(AI85="","",VLOOKUP(AI85,'11. Lists'!$F$47:$G$51,2,FALSE))</f>
        <v/>
      </c>
      <c r="AK85" s="364"/>
      <c r="AL85" s="365"/>
      <c r="AM85" s="366"/>
      <c r="AN85" s="214" t="str">
        <f t="shared" si="30"/>
        <v/>
      </c>
      <c r="AO85" s="215" t="str">
        <f>IF(AN85="","",VLOOKUP(AN85,'11. Lists'!$F$36:$H$38,2,FALSE))</f>
        <v/>
      </c>
      <c r="AP85" s="211" t="str">
        <f>IF(AN85="","",VLOOKUP(AN85,'11. Lists'!$F$36:$H$38,3,FALSE))</f>
        <v/>
      </c>
      <c r="AQ85" s="379" t="str">
        <f>IF(D85="","",IF(AX85="Distinctiveness","N/A",VLOOKUP(F85,'10. Condition and Temporal'!$B$6:$L$103,11,FALSE)))</f>
        <v/>
      </c>
      <c r="AR85" s="382" t="str">
        <f>IF(AQ85="","",IF(AQ85="N/A","1",VLOOKUP(AQ85,'11. Lists'!$I$47:$K$80,3,FALSE)))</f>
        <v/>
      </c>
      <c r="AS85" s="383" t="str">
        <f>IF(D85="","",IF(AX85="Condition","N/A",VLOOKUP(F85,'10. Condition and Temporal'!$B$6:$M$106,12,FALSE)))</f>
        <v/>
      </c>
      <c r="AT85" s="382" t="str">
        <f>IF(AS85="","",IF(AS85="N/A","1",VLOOKUP(AS85,'11. Lists'!$I$47:$K$80,3,FALSE)))</f>
        <v/>
      </c>
      <c r="AU85" s="379" t="str">
        <f>IF(D85="","",VLOOKUP(F85,'9. All Habitats + Multipliers'!$C$4:$K$102,8,FALSE))</f>
        <v/>
      </c>
      <c r="AV85" s="380" t="str">
        <f>IF(AU85="","",VLOOKUP(AU85,'11. Lists'!$J$35:$K$38,2,FALSE))</f>
        <v/>
      </c>
      <c r="AW85" s="361" t="str">
        <f>IF(D85="","",VLOOKUP(D85,'10. Condition and Temporal'!$B$6:$M$103,4,FALSE))</f>
        <v/>
      </c>
      <c r="AX85" s="361" t="str">
        <f t="shared" si="31"/>
        <v/>
      </c>
      <c r="AY85" s="384" t="str">
        <f t="shared" si="32"/>
        <v/>
      </c>
      <c r="AZ85" s="1"/>
      <c r="BA85" s="214">
        <v>18.0</v>
      </c>
      <c r="BB85" s="215" t="str">
        <f t="shared" si="33"/>
        <v/>
      </c>
      <c r="BC85" s="215" t="str">
        <f t="shared" si="34"/>
        <v/>
      </c>
      <c r="BD85" s="215" t="str">
        <f t="shared" si="35"/>
        <v/>
      </c>
      <c r="BE85" s="215" t="str">
        <f t="shared" si="36"/>
        <v/>
      </c>
      <c r="BF85" s="215" t="str">
        <f t="shared" si="37"/>
        <v/>
      </c>
      <c r="BG85" s="215" t="str">
        <f t="shared" si="38"/>
        <v/>
      </c>
      <c r="BH85" s="215" t="str">
        <f t="shared" si="39"/>
        <v/>
      </c>
      <c r="BI85" s="215" t="str">
        <f t="shared" si="40"/>
        <v/>
      </c>
      <c r="BJ85" s="215" t="str">
        <f t="shared" si="41"/>
        <v/>
      </c>
      <c r="BK85" s="215" t="str">
        <f t="shared" si="42"/>
        <v/>
      </c>
      <c r="BL85" s="215" t="str">
        <f t="shared" si="43"/>
        <v/>
      </c>
      <c r="BM85" s="215" t="str">
        <f t="shared" si="44"/>
        <v/>
      </c>
      <c r="BN85" s="215" t="str">
        <f t="shared" si="45"/>
        <v/>
      </c>
      <c r="BO85" s="215" t="str">
        <f t="shared" si="46"/>
        <v/>
      </c>
      <c r="BP85" s="215" t="str">
        <f t="shared" si="47"/>
        <v/>
      </c>
      <c r="BQ85" s="215" t="str">
        <f t="shared" si="48"/>
        <v/>
      </c>
      <c r="BR85" s="215" t="str">
        <f t="shared" si="49"/>
        <v/>
      </c>
      <c r="BS85" s="215" t="str">
        <f t="shared" si="50"/>
        <v/>
      </c>
      <c r="BT85" s="215" t="str">
        <f t="shared" si="51"/>
        <v/>
      </c>
      <c r="BU85" s="211" t="str">
        <f t="shared" si="52"/>
        <v/>
      </c>
      <c r="BV85" s="212" t="str">
        <f t="shared" si="53"/>
        <v/>
      </c>
      <c r="BW85" s="215" t="s">
        <v>203</v>
      </c>
      <c r="BX85" s="215">
        <f>BS66</f>
        <v>0</v>
      </c>
      <c r="BY85" s="1"/>
      <c r="BZ85" s="1"/>
      <c r="CA85" s="1"/>
      <c r="CB85" s="1"/>
      <c r="CC85" s="1"/>
      <c r="CD85" s="1"/>
      <c r="CE85" s="1"/>
      <c r="CF85" s="1"/>
      <c r="CG85" s="1"/>
      <c r="CH85" s="1"/>
      <c r="CI85" s="1"/>
      <c r="CJ85" s="1"/>
      <c r="CK85" s="1"/>
      <c r="CL85" s="1"/>
      <c r="CM85" s="1"/>
      <c r="CN85" s="1"/>
      <c r="CO85" s="1"/>
      <c r="CP85" s="1"/>
      <c r="CQ85" s="1"/>
      <c r="CR85" s="1"/>
    </row>
    <row r="86" ht="14.25" customHeight="1">
      <c r="A86" s="176"/>
      <c r="B86" s="221">
        <v>19.0</v>
      </c>
      <c r="C86" s="376" t="str">
        <f t="shared" si="14"/>
        <v/>
      </c>
      <c r="D86" s="352" t="str">
        <f t="shared" si="15"/>
        <v/>
      </c>
      <c r="E86" s="377" t="str">
        <f t="shared" si="16"/>
        <v/>
      </c>
      <c r="F86" s="222"/>
      <c r="G86" s="43"/>
      <c r="H86" s="354" t="str">
        <f t="shared" si="17"/>
        <v/>
      </c>
      <c r="I86" s="355" t="str">
        <f t="shared" si="18"/>
        <v/>
      </c>
      <c r="J86" s="356" t="str">
        <f>IFERROR(IF(F86="","",VLOOKUP(F86,'10. Condition and Temporal'!$B$6:$F$103,5,FALSE)), "Error ▲")</f>
        <v/>
      </c>
      <c r="K86" s="43"/>
      <c r="L86" s="357" t="str">
        <f t="shared" si="19"/>
        <v/>
      </c>
      <c r="M86" s="358" t="str">
        <f t="shared" si="20"/>
        <v/>
      </c>
      <c r="N86" s="359"/>
      <c r="O86" s="378"/>
      <c r="P86" s="300"/>
      <c r="Q86" s="1"/>
      <c r="R86" s="161"/>
      <c r="S86" s="1"/>
      <c r="T86" s="361" t="str">
        <f t="shared" si="21"/>
        <v/>
      </c>
      <c r="U86" s="379" t="str">
        <f t="shared" si="22"/>
        <v/>
      </c>
      <c r="V86" s="211" t="str">
        <f t="shared" ref="V86:X86" si="70">IF($D86="","",V29)</f>
        <v/>
      </c>
      <c r="W86" s="214" t="str">
        <f t="shared" si="70"/>
        <v/>
      </c>
      <c r="X86" s="211" t="str">
        <f t="shared" si="70"/>
        <v/>
      </c>
      <c r="Y86" s="364"/>
      <c r="Z86" s="365"/>
      <c r="AA86" s="366"/>
      <c r="AB86" s="214" t="str">
        <f t="shared" si="24"/>
        <v/>
      </c>
      <c r="AC86" s="380" t="str">
        <f t="shared" si="25"/>
        <v/>
      </c>
      <c r="AD86" s="361" t="str">
        <f t="shared" si="26"/>
        <v/>
      </c>
      <c r="AE86" s="361" t="str">
        <f t="shared" si="27"/>
        <v/>
      </c>
      <c r="AF86" s="219" t="str">
        <f t="shared" si="28"/>
        <v/>
      </c>
      <c r="AG86" s="379" t="str">
        <f>IF(D86="","",VLOOKUP(F86,'9. All Habitats + Multipliers'!$C$4:$K$102,5,FALSE))</f>
        <v/>
      </c>
      <c r="AH86" s="381" t="str">
        <f>IF(AG86="","",VLOOKUP(AG86,'11. Lists'!$B$47:$D$49,2,FALSE))</f>
        <v/>
      </c>
      <c r="AI86" s="214" t="str">
        <f t="shared" si="29"/>
        <v/>
      </c>
      <c r="AJ86" s="211" t="str">
        <f>IF(AI86="","",VLOOKUP(AI86,'11. Lists'!$F$47:$G$51,2,FALSE))</f>
        <v/>
      </c>
      <c r="AK86" s="364"/>
      <c r="AL86" s="365"/>
      <c r="AM86" s="366"/>
      <c r="AN86" s="214" t="str">
        <f t="shared" si="30"/>
        <v/>
      </c>
      <c r="AO86" s="215" t="str">
        <f>IF(AN86="","",VLOOKUP(AN86,'11. Lists'!$F$36:$H$38,2,FALSE))</f>
        <v/>
      </c>
      <c r="AP86" s="211" t="str">
        <f>IF(AN86="","",VLOOKUP(AN86,'11. Lists'!$F$36:$H$38,3,FALSE))</f>
        <v/>
      </c>
      <c r="AQ86" s="379" t="str">
        <f>IF(D86="","",IF(AX86="Distinctiveness","N/A",VLOOKUP(F86,'10. Condition and Temporal'!$B$6:$L$103,11,FALSE)))</f>
        <v/>
      </c>
      <c r="AR86" s="382" t="str">
        <f>IF(AQ86="","",IF(AQ86="N/A","1",VLOOKUP(AQ86,'11. Lists'!$I$47:$K$80,3,FALSE)))</f>
        <v/>
      </c>
      <c r="AS86" s="383" t="str">
        <f>IF(D86="","",IF(AX86="Condition","N/A",VLOOKUP(F86,'10. Condition and Temporal'!$B$6:$M$106,12,FALSE)))</f>
        <v/>
      </c>
      <c r="AT86" s="382" t="str">
        <f>IF(AS86="","",IF(AS86="N/A","1",VLOOKUP(AS86,'11. Lists'!$I$47:$K$80,3,FALSE)))</f>
        <v/>
      </c>
      <c r="AU86" s="379" t="str">
        <f>IF(D86="","",VLOOKUP(F86,'9. All Habitats + Multipliers'!$C$4:$K$102,8,FALSE))</f>
        <v/>
      </c>
      <c r="AV86" s="380" t="str">
        <f>IF(AU86="","",VLOOKUP(AU86,'11. Lists'!$J$35:$K$38,2,FALSE))</f>
        <v/>
      </c>
      <c r="AW86" s="361" t="str">
        <f>IF(D86="","",VLOOKUP(D86,'10. Condition and Temporal'!$B$6:$M$103,4,FALSE))</f>
        <v/>
      </c>
      <c r="AX86" s="361" t="str">
        <f t="shared" si="31"/>
        <v/>
      </c>
      <c r="AY86" s="384" t="str">
        <f t="shared" si="32"/>
        <v/>
      </c>
      <c r="AZ86" s="1"/>
      <c r="BA86" s="214">
        <v>19.0</v>
      </c>
      <c r="BB86" s="215" t="str">
        <f t="shared" si="33"/>
        <v/>
      </c>
      <c r="BC86" s="215" t="str">
        <f t="shared" si="34"/>
        <v/>
      </c>
      <c r="BD86" s="215" t="str">
        <f t="shared" si="35"/>
        <v/>
      </c>
      <c r="BE86" s="215" t="str">
        <f t="shared" si="36"/>
        <v/>
      </c>
      <c r="BF86" s="215" t="str">
        <f t="shared" si="37"/>
        <v/>
      </c>
      <c r="BG86" s="215" t="str">
        <f t="shared" si="38"/>
        <v/>
      </c>
      <c r="BH86" s="215" t="str">
        <f t="shared" si="39"/>
        <v/>
      </c>
      <c r="BI86" s="215" t="str">
        <f t="shared" si="40"/>
        <v/>
      </c>
      <c r="BJ86" s="215" t="str">
        <f t="shared" si="41"/>
        <v/>
      </c>
      <c r="BK86" s="215" t="str">
        <f t="shared" si="42"/>
        <v/>
      </c>
      <c r="BL86" s="215" t="str">
        <f t="shared" si="43"/>
        <v/>
      </c>
      <c r="BM86" s="215" t="str">
        <f t="shared" si="44"/>
        <v/>
      </c>
      <c r="BN86" s="215" t="str">
        <f t="shared" si="45"/>
        <v/>
      </c>
      <c r="BO86" s="215" t="str">
        <f t="shared" si="46"/>
        <v/>
      </c>
      <c r="BP86" s="215" t="str">
        <f t="shared" si="47"/>
        <v/>
      </c>
      <c r="BQ86" s="215" t="str">
        <f t="shared" si="48"/>
        <v/>
      </c>
      <c r="BR86" s="215" t="str">
        <f t="shared" si="49"/>
        <v/>
      </c>
      <c r="BS86" s="215" t="str">
        <f t="shared" si="50"/>
        <v/>
      </c>
      <c r="BT86" s="215" t="str">
        <f t="shared" si="51"/>
        <v/>
      </c>
      <c r="BU86" s="211" t="str">
        <f t="shared" si="52"/>
        <v/>
      </c>
      <c r="BV86" s="212" t="str">
        <f t="shared" si="53"/>
        <v/>
      </c>
      <c r="BW86" s="215" t="s">
        <v>204</v>
      </c>
      <c r="BX86" s="215">
        <f>BT66</f>
        <v>0</v>
      </c>
      <c r="BY86" s="1"/>
      <c r="BZ86" s="1"/>
      <c r="CA86" s="1"/>
      <c r="CB86" s="1"/>
      <c r="CC86" s="1"/>
      <c r="CD86" s="1"/>
      <c r="CE86" s="1"/>
      <c r="CF86" s="1"/>
      <c r="CG86" s="1"/>
      <c r="CH86" s="1"/>
      <c r="CI86" s="1"/>
      <c r="CJ86" s="1"/>
      <c r="CK86" s="1"/>
      <c r="CL86" s="1"/>
      <c r="CM86" s="1"/>
      <c r="CN86" s="1"/>
      <c r="CO86" s="1"/>
      <c r="CP86" s="1"/>
      <c r="CQ86" s="1"/>
      <c r="CR86" s="1"/>
    </row>
    <row r="87" ht="14.25" customHeight="1">
      <c r="A87" s="176"/>
      <c r="B87" s="231">
        <v>20.0</v>
      </c>
      <c r="C87" s="385" t="str">
        <f t="shared" si="14"/>
        <v/>
      </c>
      <c r="D87" s="386" t="str">
        <f t="shared" si="15"/>
        <v/>
      </c>
      <c r="E87" s="387" t="str">
        <f t="shared" si="16"/>
        <v/>
      </c>
      <c r="F87" s="232"/>
      <c r="G87" s="54"/>
      <c r="H87" s="388" t="str">
        <f t="shared" si="17"/>
        <v/>
      </c>
      <c r="I87" s="389" t="str">
        <f t="shared" si="18"/>
        <v/>
      </c>
      <c r="J87" s="390" t="str">
        <f>IFERROR(IF(F87="","",VLOOKUP(F87,'10. Condition and Temporal'!$B$6:$F$103,5,FALSE)), "Error ▲")</f>
        <v/>
      </c>
      <c r="K87" s="54"/>
      <c r="L87" s="391" t="str">
        <f t="shared" si="19"/>
        <v/>
      </c>
      <c r="M87" s="392" t="str">
        <f t="shared" si="20"/>
        <v/>
      </c>
      <c r="N87" s="393"/>
      <c r="O87" s="394"/>
      <c r="P87" s="249"/>
      <c r="Q87" s="1"/>
      <c r="R87" s="161"/>
      <c r="S87" s="1"/>
      <c r="T87" s="395" t="str">
        <f t="shared" si="21"/>
        <v/>
      </c>
      <c r="U87" s="396" t="str">
        <f t="shared" si="22"/>
        <v/>
      </c>
      <c r="V87" s="251" t="str">
        <f t="shared" ref="V87:X87" si="71">IF($D87="","",V30)</f>
        <v/>
      </c>
      <c r="W87" s="253" t="str">
        <f t="shared" si="71"/>
        <v/>
      </c>
      <c r="X87" s="251" t="str">
        <f t="shared" si="71"/>
        <v/>
      </c>
      <c r="Y87" s="397"/>
      <c r="Z87" s="398"/>
      <c r="AA87" s="399"/>
      <c r="AB87" s="253" t="str">
        <f t="shared" si="24"/>
        <v/>
      </c>
      <c r="AC87" s="400" t="str">
        <f t="shared" si="25"/>
        <v/>
      </c>
      <c r="AD87" s="395" t="str">
        <f t="shared" si="26"/>
        <v/>
      </c>
      <c r="AE87" s="395" t="str">
        <f t="shared" si="27"/>
        <v/>
      </c>
      <c r="AF87" s="258" t="str">
        <f t="shared" si="28"/>
        <v/>
      </c>
      <c r="AG87" s="396" t="str">
        <f>IF(D87="","",VLOOKUP(F87,'9. All Habitats + Multipliers'!$C$4:$K$102,5,FALSE))</f>
        <v/>
      </c>
      <c r="AH87" s="401" t="str">
        <f>IF(AG87="","",VLOOKUP(AG87,'11. Lists'!$B$47:$D$49,2,FALSE))</f>
        <v/>
      </c>
      <c r="AI87" s="253" t="str">
        <f t="shared" si="29"/>
        <v/>
      </c>
      <c r="AJ87" s="251" t="str">
        <f>IF(AI87="","",VLOOKUP(AI87,'11. Lists'!$F$47:$G$51,2,FALSE))</f>
        <v/>
      </c>
      <c r="AK87" s="364"/>
      <c r="AL87" s="365"/>
      <c r="AM87" s="366"/>
      <c r="AN87" s="253" t="str">
        <f t="shared" si="30"/>
        <v/>
      </c>
      <c r="AO87" s="254" t="str">
        <f>IF(AN87="","",VLOOKUP(AN87,'11. Lists'!$F$36:$H$38,2,FALSE))</f>
        <v/>
      </c>
      <c r="AP87" s="251" t="str">
        <f>IF(AN87="","",VLOOKUP(AN87,'11. Lists'!$F$36:$H$38,3,FALSE))</f>
        <v/>
      </c>
      <c r="AQ87" s="396" t="str">
        <f>IF(D87="","",IF(AX87="Distinctiveness","N/A",VLOOKUP(F87,'10. Condition and Temporal'!$B$6:$L$103,11,FALSE)))</f>
        <v/>
      </c>
      <c r="AR87" s="402" t="str">
        <f>IF(AQ87="","",IF(AQ87="N/A","1",VLOOKUP(AQ87,'11. Lists'!$I$47:$K$80,3,FALSE)))</f>
        <v/>
      </c>
      <c r="AS87" s="403" t="str">
        <f>IF(D87="","",IF(AX87="Condition","N/A",VLOOKUP(F87,'10. Condition and Temporal'!$B$6:$M$106,12,FALSE)))</f>
        <v/>
      </c>
      <c r="AT87" s="402" t="str">
        <f>IF(AS87="","",IF(AS87="N/A","1",VLOOKUP(AS87,'11. Lists'!$I$47:$K$80,3,FALSE)))</f>
        <v/>
      </c>
      <c r="AU87" s="396" t="str">
        <f>IF(D87="","",VLOOKUP(F87,'9. All Habitats + Multipliers'!$C$4:$K$102,8,FALSE))</f>
        <v/>
      </c>
      <c r="AV87" s="400" t="str">
        <f>IF(AU87="","",VLOOKUP(AU87,'11. Lists'!$J$35:$K$38,2,FALSE))</f>
        <v/>
      </c>
      <c r="AW87" s="395" t="str">
        <f>IF(D87="","",VLOOKUP(D87,'10. Condition and Temporal'!$B$6:$M$103,4,FALSE))</f>
        <v/>
      </c>
      <c r="AX87" s="395" t="str">
        <f t="shared" si="31"/>
        <v/>
      </c>
      <c r="AY87" s="404" t="str">
        <f t="shared" si="32"/>
        <v/>
      </c>
      <c r="AZ87" s="1"/>
      <c r="BA87" s="253">
        <v>20.0</v>
      </c>
      <c r="BB87" s="254" t="str">
        <f t="shared" si="33"/>
        <v/>
      </c>
      <c r="BC87" s="254" t="str">
        <f t="shared" si="34"/>
        <v/>
      </c>
      <c r="BD87" s="254" t="str">
        <f t="shared" si="35"/>
        <v/>
      </c>
      <c r="BE87" s="254" t="str">
        <f t="shared" si="36"/>
        <v/>
      </c>
      <c r="BF87" s="254" t="str">
        <f t="shared" si="37"/>
        <v/>
      </c>
      <c r="BG87" s="254" t="str">
        <f t="shared" si="38"/>
        <v/>
      </c>
      <c r="BH87" s="254" t="str">
        <f t="shared" si="39"/>
        <v/>
      </c>
      <c r="BI87" s="254" t="str">
        <f t="shared" si="40"/>
        <v/>
      </c>
      <c r="BJ87" s="254" t="str">
        <f t="shared" si="41"/>
        <v/>
      </c>
      <c r="BK87" s="254" t="str">
        <f t="shared" si="42"/>
        <v/>
      </c>
      <c r="BL87" s="254" t="str">
        <f t="shared" si="43"/>
        <v/>
      </c>
      <c r="BM87" s="254" t="str">
        <f t="shared" si="44"/>
        <v/>
      </c>
      <c r="BN87" s="254" t="str">
        <f t="shared" si="45"/>
        <v/>
      </c>
      <c r="BO87" s="254" t="str">
        <f t="shared" si="46"/>
        <v/>
      </c>
      <c r="BP87" s="254" t="str">
        <f t="shared" si="47"/>
        <v/>
      </c>
      <c r="BQ87" s="254" t="str">
        <f t="shared" si="48"/>
        <v/>
      </c>
      <c r="BR87" s="254" t="str">
        <f t="shared" si="49"/>
        <v/>
      </c>
      <c r="BS87" s="254" t="str">
        <f t="shared" si="50"/>
        <v/>
      </c>
      <c r="BT87" s="254" t="str">
        <f t="shared" si="51"/>
        <v/>
      </c>
      <c r="BU87" s="251" t="str">
        <f t="shared" si="52"/>
        <v/>
      </c>
      <c r="BV87" s="212" t="str">
        <f t="shared" si="53"/>
        <v/>
      </c>
      <c r="BW87" s="215" t="s">
        <v>205</v>
      </c>
      <c r="BX87" s="215">
        <f>BU66</f>
        <v>0</v>
      </c>
      <c r="BY87" s="1"/>
      <c r="BZ87" s="1"/>
      <c r="CA87" s="1"/>
      <c r="CB87" s="1"/>
      <c r="CC87" s="1"/>
      <c r="CD87" s="1"/>
      <c r="CE87" s="1"/>
      <c r="CF87" s="1"/>
      <c r="CG87" s="1"/>
      <c r="CH87" s="1"/>
      <c r="CI87" s="1"/>
      <c r="CJ87" s="1"/>
      <c r="CK87" s="1"/>
      <c r="CL87" s="1"/>
      <c r="CM87" s="1"/>
      <c r="CN87" s="1"/>
      <c r="CO87" s="1"/>
      <c r="CP87" s="1"/>
      <c r="CQ87" s="1"/>
      <c r="CR87" s="1"/>
    </row>
    <row r="88" ht="32.25" hidden="1" customHeight="1">
      <c r="A88" s="176"/>
      <c r="B88" s="306" t="s">
        <v>120</v>
      </c>
      <c r="C88" s="237" t="s">
        <v>121</v>
      </c>
      <c r="D88" s="405" t="s">
        <v>122</v>
      </c>
      <c r="E88" s="237" t="str">
        <f t="shared" si="16"/>
        <v>Condition</v>
      </c>
      <c r="F88" s="406" t="s">
        <v>122</v>
      </c>
      <c r="G88" s="239"/>
      <c r="H88" s="407" t="s">
        <v>116</v>
      </c>
      <c r="I88" s="408">
        <v>0.0</v>
      </c>
      <c r="J88" s="309" t="str">
        <f>IF(F88="","",VLOOKUP(F88,'10. Condition and Temporal'!$B$6:$F$103,5,FALSE))</f>
        <v>Good</v>
      </c>
      <c r="K88" s="239"/>
      <c r="L88" s="245">
        <f>IFERROR(IF(D88="","",IF(AX88="Distinctiveness",(((((I88*AH88*AJ88)-(I88*V88*X88))*(AV88*AT88))+(I88*V88*X88))*(AP88))/10000,((((I88*AJ88*AH88)-(I88*V88*X88))*(AV88*AR88))+(I88*V88*X88))*AP88/10000)),"This intervention is not permitted within the SSM ▲")</f>
        <v>0</v>
      </c>
      <c r="M88" s="409">
        <f>L88-AD88</f>
        <v>0</v>
      </c>
      <c r="N88" s="239"/>
      <c r="O88" s="410"/>
      <c r="P88" s="315"/>
      <c r="Q88" s="1"/>
      <c r="R88" s="161"/>
      <c r="S88" s="1"/>
      <c r="T88" s="411" t="str">
        <f t="shared" si="21"/>
        <v/>
      </c>
      <c r="U88" s="412" t="str">
        <f t="shared" si="22"/>
        <v>Medium</v>
      </c>
      <c r="V88" s="413">
        <f t="shared" ref="V88:X88" si="72">IF($D88="","",V31)</f>
        <v>4</v>
      </c>
      <c r="W88" s="412" t="str">
        <f t="shared" si="72"/>
        <v>Moderate</v>
      </c>
      <c r="X88" s="414">
        <f t="shared" si="72"/>
        <v>2</v>
      </c>
      <c r="Y88" s="415"/>
      <c r="Z88" s="415"/>
      <c r="AA88" s="415"/>
      <c r="AB88" s="414" t="str">
        <f t="shared" si="24"/>
        <v>Formally identified in local strategy</v>
      </c>
      <c r="AC88" s="414">
        <f t="shared" si="25"/>
        <v>1.15</v>
      </c>
      <c r="AD88" s="416">
        <f>IF(AC88="","",(T88*V88*X88)*(AA88*AC88)/10000)</f>
        <v>0</v>
      </c>
      <c r="AE88" s="417" t="str">
        <f t="shared" si="27"/>
        <v>Acceptable</v>
      </c>
      <c r="AF88" s="411">
        <f t="shared" si="28"/>
        <v>0</v>
      </c>
      <c r="AG88" s="412" t="str">
        <f>IF(D88="","",VLOOKUP(F88,'9. All Habitats + Multipliers'!$C$4:$K$102,5,FALSE))</f>
        <v>Medium</v>
      </c>
      <c r="AH88" s="416">
        <f>IF(AG88="","",VLOOKUP(AG88,'11. Lists'!$B$47:$D$49,2,FALSE))</f>
        <v>4</v>
      </c>
      <c r="AI88" s="418" t="str">
        <f t="shared" si="29"/>
        <v>Good</v>
      </c>
      <c r="AJ88" s="396">
        <f>IF(AI88="","",VLOOKUP(AI88,'11. Lists'!$F$47:$G$51,2,FALSE))</f>
        <v>3</v>
      </c>
      <c r="AK88" s="419"/>
      <c r="AL88" s="419"/>
      <c r="AM88" s="419"/>
      <c r="AN88" s="400" t="str">
        <f t="shared" si="30"/>
        <v>Area/compensation not in local strategy/ no local strategy</v>
      </c>
      <c r="AO88" s="420" t="str">
        <f>IF(AN88="","",VLOOKUP(AN88,'11. Lists'!$F$36:$H$38,2,FALSE))</f>
        <v>Low Strategic Significance</v>
      </c>
      <c r="AP88" s="400">
        <f>IF(AN88="","",VLOOKUP(AN88,'11. Lists'!$F$36:$H$38,3,FALSE))</f>
        <v>1</v>
      </c>
      <c r="AQ88" s="412">
        <f>IF(D88="","",VLOOKUP(F88,'10. Condition and Temporal'!$B$6:$L$103,11,FALSE))</f>
        <v>16</v>
      </c>
      <c r="AR88" s="421">
        <f>IF(AQ88="","",VLOOKUP(AQ88,'11. Lists'!$I$47:$K$80,3,FALSE))</f>
        <v>0.5655057348</v>
      </c>
      <c r="AS88" s="422" t="str">
        <f>IF(D88="","",VLOOKUP(F88,'10. Condition and Temporal'!$B$6:$M$106,12,FALSE))</f>
        <v>Not Possible</v>
      </c>
      <c r="AT88" s="382" t="str">
        <f>IF(AS88="","",IF(AS88="N/A","1",VLOOKUP(AS88,'11. Lists'!$I$47:$K$80,3,FALSE)))</f>
        <v>N/A</v>
      </c>
      <c r="AU88" s="423" t="str">
        <f>IF(D88="","",VLOOKUP(F88,'9. All Habitats + Multipliers'!$C$4:$K$102,8,FALSE))</f>
        <v>Low</v>
      </c>
      <c r="AV88" s="416">
        <f>IF(AU88="","",VLOOKUP(AU88,'11. Lists'!$J$35:$K$38,2,FALSE))</f>
        <v>1</v>
      </c>
      <c r="AW88" s="412" t="str">
        <f>IF(D88="","",VLOOKUP(D88,'10. Condition and Temporal'!$B$6:$M$103,4,FALSE))</f>
        <v>Urban/rural tree</v>
      </c>
      <c r="AX88" s="416" t="str">
        <f>IF(F88="","",IF(D88=F88,"Condition","Distinctivness"))</f>
        <v>Condition</v>
      </c>
      <c r="AY88" s="1" t="str">
        <f>C88</f>
        <v>Individual trees</v>
      </c>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row>
    <row r="89" ht="14.25" customHeight="1">
      <c r="A89" s="1"/>
      <c r="B89" s="1"/>
      <c r="C89" s="1"/>
      <c r="D89" s="1"/>
      <c r="E89" s="1"/>
      <c r="F89" s="1"/>
      <c r="G89" s="1"/>
      <c r="H89" s="424" t="s">
        <v>124</v>
      </c>
      <c r="I89" s="425">
        <f>SUMIFS(I68:I87,F68:F87,"&lt;&gt;"&amp;'11. Lists'!Q10,F68:F87,"&lt;&gt;"&amp;'11. Lists'!Q11,F68:F87,"&lt;&gt;"&amp;'11. Lists'!I4,F68:F87,"&lt;&gt;"&amp;'11. Lists'!I2,F68:F87,"&lt;&gt;"&amp;'11. Lists'!I3)</f>
        <v>0</v>
      </c>
      <c r="J89" s="426"/>
      <c r="K89" s="427"/>
      <c r="L89" s="428">
        <f>SUM(L68:L88)</f>
        <v>0</v>
      </c>
      <c r="M89" s="318">
        <f>SUM(M68:N88)</f>
        <v>0</v>
      </c>
      <c r="N89" s="239"/>
      <c r="O89" s="1"/>
      <c r="P89" s="1"/>
      <c r="Q89" s="1"/>
      <c r="R89" s="16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row>
    <row r="90" ht="14.25" customHeight="1">
      <c r="A90" s="1"/>
      <c r="B90" s="1"/>
      <c r="C90" s="154"/>
      <c r="D90" s="1"/>
      <c r="E90" s="1"/>
      <c r="F90" s="1"/>
      <c r="G90" s="1"/>
      <c r="H90" s="1"/>
      <c r="I90" s="1"/>
      <c r="J90" s="1"/>
      <c r="K90" s="1"/>
      <c r="L90" s="1"/>
      <c r="M90" s="1"/>
      <c r="N90" s="1"/>
      <c r="O90" s="1"/>
      <c r="P90" s="1"/>
      <c r="Q90" s="1"/>
      <c r="R90" s="16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row>
    <row r="91" ht="14.25" customHeight="1">
      <c r="A91" s="1"/>
      <c r="B91" s="128" t="s">
        <v>206</v>
      </c>
      <c r="C91" s="1"/>
      <c r="D91" s="1"/>
      <c r="E91" s="1"/>
      <c r="F91" s="1"/>
      <c r="G91" s="1"/>
      <c r="H91" s="1"/>
      <c r="I91" s="1"/>
      <c r="J91" s="1"/>
      <c r="K91" s="1"/>
      <c r="L91" s="1"/>
      <c r="M91" s="1"/>
      <c r="N91" s="1"/>
      <c r="O91" s="1"/>
      <c r="P91" s="1"/>
      <c r="Q91" s="1"/>
      <c r="R91" s="16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row>
    <row r="92" ht="14.25" customHeight="1">
      <c r="A92" s="1"/>
      <c r="B92" s="1"/>
      <c r="C92" s="1"/>
      <c r="D92" s="174"/>
      <c r="E92" s="1"/>
      <c r="F92" s="1"/>
      <c r="G92" s="1"/>
      <c r="H92" s="1"/>
      <c r="I92" s="1"/>
      <c r="J92" s="1"/>
      <c r="K92" s="1"/>
      <c r="L92" s="1"/>
      <c r="M92" s="1"/>
      <c r="N92" s="1"/>
      <c r="O92" s="1"/>
      <c r="P92" s="1"/>
      <c r="Q92" s="1"/>
      <c r="R92" s="16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row>
    <row r="93" ht="48.0" customHeight="1">
      <c r="A93" s="1"/>
      <c r="B93" s="180" t="s">
        <v>207</v>
      </c>
      <c r="C93" s="27"/>
      <c r="D93" s="429" t="s">
        <v>208</v>
      </c>
      <c r="E93" s="430" t="s">
        <v>209</v>
      </c>
      <c r="F93" s="24"/>
      <c r="G93" s="430" t="s">
        <v>210</v>
      </c>
      <c r="H93" s="27"/>
      <c r="I93" s="181" t="s">
        <v>211</v>
      </c>
      <c r="J93" s="179"/>
      <c r="K93" s="179"/>
      <c r="L93" s="179"/>
      <c r="M93" s="179"/>
      <c r="N93" s="179"/>
      <c r="O93" s="179"/>
      <c r="P93" s="60"/>
      <c r="Q93" s="1"/>
      <c r="R93" s="16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row>
    <row r="94" ht="15.0" customHeight="1">
      <c r="A94" s="1"/>
      <c r="B94" s="170"/>
      <c r="C94" s="172"/>
      <c r="D94" s="138"/>
      <c r="E94" s="332"/>
      <c r="F94" s="431"/>
      <c r="G94" s="332"/>
      <c r="H94" s="172"/>
      <c r="I94" s="432" t="s">
        <v>212</v>
      </c>
      <c r="J94" s="53"/>
      <c r="K94" s="51"/>
      <c r="L94" s="280" t="s">
        <v>213</v>
      </c>
      <c r="M94" s="53"/>
      <c r="N94" s="51"/>
      <c r="O94" s="280" t="s">
        <v>214</v>
      </c>
      <c r="P94" s="54"/>
      <c r="Q94" s="1"/>
      <c r="R94" s="16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row>
    <row r="95" ht="22.5" customHeight="1">
      <c r="A95" s="1"/>
      <c r="B95" s="433" t="s">
        <v>215</v>
      </c>
      <c r="C95" s="60"/>
      <c r="D95" s="434">
        <v>2.0</v>
      </c>
      <c r="E95" s="435"/>
      <c r="F95" s="122"/>
      <c r="G95" s="436"/>
      <c r="H95" s="60"/>
      <c r="I95" s="437">
        <f>D95*'11. Lists'!P47</f>
        <v>81.3888</v>
      </c>
      <c r="J95" s="179"/>
      <c r="K95" s="122"/>
      <c r="L95" s="438">
        <f>IF(E95&gt;D95, "Error ▲", E95*'11. Lists'!P47)</f>
        <v>0</v>
      </c>
      <c r="M95" s="179"/>
      <c r="N95" s="122"/>
      <c r="O95" s="438">
        <f>G95*'11. Lists'!P47</f>
        <v>0</v>
      </c>
      <c r="P95" s="60"/>
      <c r="Q95" s="1"/>
      <c r="R95" s="16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row>
    <row r="96" ht="24.0" customHeight="1">
      <c r="A96" s="1"/>
      <c r="B96" s="439" t="s">
        <v>216</v>
      </c>
      <c r="C96" s="43"/>
      <c r="D96" s="440"/>
      <c r="E96" s="441"/>
      <c r="F96" s="47"/>
      <c r="G96" s="442"/>
      <c r="H96" s="43"/>
      <c r="I96" s="443">
        <f>D96*'11. Lists'!P48</f>
        <v>0</v>
      </c>
      <c r="J96" s="42"/>
      <c r="K96" s="47"/>
      <c r="L96" s="444">
        <f>IF(E96&gt;D96,"Error ▲",(E96*'11. Lists'!P48))</f>
        <v>0</v>
      </c>
      <c r="M96" s="42"/>
      <c r="N96" s="47"/>
      <c r="O96" s="444">
        <f>G96*'11. Lists'!P48</f>
        <v>0</v>
      </c>
      <c r="P96" s="43"/>
      <c r="Q96" s="1"/>
      <c r="R96" s="16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row>
    <row r="97" ht="24.0" customHeight="1">
      <c r="A97" s="1"/>
      <c r="B97" s="439" t="s">
        <v>217</v>
      </c>
      <c r="C97" s="43"/>
      <c r="D97" s="440">
        <v>1.0</v>
      </c>
      <c r="E97" s="441">
        <v>1.0</v>
      </c>
      <c r="F97" s="47"/>
      <c r="G97" s="442"/>
      <c r="H97" s="43"/>
      <c r="I97" s="443">
        <f>D97*'11. Lists'!P49</f>
        <v>366.2496</v>
      </c>
      <c r="J97" s="42"/>
      <c r="K97" s="47"/>
      <c r="L97" s="444">
        <f>IF(E97&gt;D97,"Error ▲",(E97*'11. Lists'!P49))</f>
        <v>366.2496</v>
      </c>
      <c r="M97" s="42"/>
      <c r="N97" s="47"/>
      <c r="O97" s="444">
        <f>G97*'11. Lists'!P49</f>
        <v>0</v>
      </c>
      <c r="P97" s="43"/>
      <c r="Q97" s="1"/>
      <c r="R97" s="16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row>
    <row r="98" ht="24.0" customHeight="1">
      <c r="A98" s="1"/>
      <c r="B98" s="439" t="s">
        <v>218</v>
      </c>
      <c r="C98" s="43"/>
      <c r="D98" s="440"/>
      <c r="E98" s="441"/>
      <c r="F98" s="47"/>
      <c r="G98" s="442"/>
      <c r="H98" s="43"/>
      <c r="I98" s="443">
        <f>D98*'11. Lists'!P50</f>
        <v>0</v>
      </c>
      <c r="J98" s="42"/>
      <c r="K98" s="47"/>
      <c r="L98" s="444">
        <f>IF(E98&gt;D98,"Error ▲",(E98*'11. Lists'!P50))</f>
        <v>0</v>
      </c>
      <c r="M98" s="42"/>
      <c r="N98" s="47"/>
      <c r="O98" s="444">
        <f>G98*'11. Lists'!P50</f>
        <v>0</v>
      </c>
      <c r="P98" s="43"/>
      <c r="Q98" s="1"/>
      <c r="R98" s="16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row>
    <row r="99" ht="24.0" customHeight="1">
      <c r="A99" s="1"/>
      <c r="B99" s="445" t="s">
        <v>219</v>
      </c>
      <c r="C99" s="446"/>
      <c r="D99" s="447">
        <f>SUM(D95:D98)</f>
        <v>3</v>
      </c>
      <c r="E99" s="448">
        <f>SUM(E95:F98)</f>
        <v>1</v>
      </c>
      <c r="F99" s="51"/>
      <c r="G99" s="448">
        <f>SUM(G95:H98)</f>
        <v>0</v>
      </c>
      <c r="H99" s="54"/>
      <c r="I99" s="449">
        <f>SUM(I95:K98)</f>
        <v>447.6384</v>
      </c>
      <c r="J99" s="53"/>
      <c r="K99" s="51"/>
      <c r="L99" s="448">
        <f>SUM(L95:N98)</f>
        <v>366.2496</v>
      </c>
      <c r="M99" s="53"/>
      <c r="N99" s="51"/>
      <c r="O99" s="448">
        <f>SUM(O95:P98)</f>
        <v>0</v>
      </c>
      <c r="P99" s="54"/>
      <c r="Q99" s="1"/>
      <c r="R99" s="16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row>
    <row r="100" ht="18.75" customHeight="1">
      <c r="A100" s="1"/>
      <c r="B100" s="1"/>
      <c r="C100" s="1"/>
      <c r="D100" s="1"/>
      <c r="E100" s="450" t="str">
        <f>IFERROR(IF(OR(E95&gt;D95, E96&gt;D96, E97&gt;D97, E98&gt;D98), "Error - trees retained and lost is greater than number of pre-development trees ▲", ""), "Error  ▲")</f>
        <v/>
      </c>
      <c r="F100" s="451"/>
      <c r="G100" s="452"/>
      <c r="H100" s="1"/>
      <c r="I100" s="1"/>
      <c r="J100" s="1"/>
      <c r="K100" s="1"/>
      <c r="L100" s="1"/>
      <c r="M100" s="1"/>
      <c r="N100" s="1"/>
      <c r="O100" s="1"/>
      <c r="P100" s="1"/>
      <c r="Q100" s="1"/>
      <c r="R100" s="16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row>
    <row r="101" ht="14.25" customHeight="1">
      <c r="A101" s="1"/>
      <c r="B101" s="1"/>
      <c r="C101" s="1"/>
      <c r="D101" s="1"/>
      <c r="E101" s="1"/>
      <c r="F101" s="1"/>
      <c r="G101" s="1"/>
      <c r="H101" s="1"/>
      <c r="I101" s="1"/>
      <c r="J101" s="1"/>
      <c r="K101" s="1"/>
      <c r="L101" s="1"/>
      <c r="M101" s="1"/>
      <c r="N101" s="1"/>
      <c r="O101" s="1"/>
      <c r="P101" s="1"/>
      <c r="Q101" s="1"/>
      <c r="R101" s="16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row>
    <row r="102" ht="14.25" customHeight="1">
      <c r="A102" s="453" t="s">
        <v>220</v>
      </c>
      <c r="B102" s="3"/>
      <c r="C102" s="3"/>
      <c r="D102" s="3"/>
      <c r="E102" s="3"/>
      <c r="F102" s="3"/>
      <c r="G102" s="3"/>
      <c r="H102" s="3"/>
      <c r="I102" s="3"/>
      <c r="J102" s="3"/>
      <c r="K102" s="3"/>
      <c r="L102" s="3"/>
      <c r="M102" s="3"/>
      <c r="N102" s="3"/>
      <c r="O102" s="3"/>
      <c r="P102" s="3"/>
      <c r="Q102" s="4"/>
      <c r="R102" s="16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row>
    <row r="103" ht="14.25" customHeight="1">
      <c r="A103" s="5"/>
      <c r="Q103" s="6"/>
      <c r="R103" s="16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row>
    <row r="104" ht="14.25" customHeight="1">
      <c r="A104" s="7"/>
      <c r="B104" s="8"/>
      <c r="C104" s="8"/>
      <c r="D104" s="8"/>
      <c r="E104" s="8"/>
      <c r="F104" s="8"/>
      <c r="G104" s="8"/>
      <c r="H104" s="8"/>
      <c r="I104" s="8"/>
      <c r="J104" s="8"/>
      <c r="K104" s="8"/>
      <c r="L104" s="8"/>
      <c r="M104" s="8"/>
      <c r="N104" s="8"/>
      <c r="O104" s="8"/>
      <c r="P104" s="8"/>
      <c r="Q104" s="9"/>
      <c r="R104" s="16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row>
    <row r="105" ht="14.25" customHeight="1">
      <c r="A105" s="1"/>
      <c r="B105" s="1"/>
      <c r="C105" s="1"/>
      <c r="D105" s="1"/>
      <c r="E105" s="1"/>
      <c r="F105" s="1"/>
      <c r="G105" s="1"/>
      <c r="H105" s="1"/>
      <c r="I105" s="1"/>
      <c r="J105" s="1"/>
      <c r="K105" s="1"/>
      <c r="L105" s="1"/>
      <c r="M105" s="1"/>
      <c r="N105" s="1"/>
      <c r="O105" s="1"/>
      <c r="P105" s="1"/>
      <c r="Q105" s="1"/>
      <c r="R105" s="16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row>
    <row r="106" ht="14.25" customHeight="1">
      <c r="A106" s="1"/>
      <c r="B106" s="128" t="s">
        <v>221</v>
      </c>
      <c r="C106" s="1"/>
      <c r="D106" s="154"/>
      <c r="E106" s="154"/>
      <c r="F106" s="154"/>
      <c r="G106" s="154"/>
      <c r="H106" s="1"/>
      <c r="I106" s="1"/>
      <c r="J106" s="1"/>
      <c r="K106" s="1"/>
      <c r="L106" s="1"/>
      <c r="M106" s="1"/>
      <c r="N106" s="1"/>
      <c r="O106" s="1"/>
      <c r="P106" s="1"/>
      <c r="Q106" s="1"/>
      <c r="R106" s="16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row>
    <row r="107" ht="14.25" customHeight="1">
      <c r="A107" s="1"/>
      <c r="B107" s="1"/>
      <c r="C107" s="1"/>
      <c r="D107" s="1"/>
      <c r="E107" s="1"/>
      <c r="F107" s="1"/>
      <c r="G107" s="1"/>
      <c r="H107" s="1"/>
      <c r="I107" s="1"/>
      <c r="J107" s="1"/>
      <c r="K107" s="1"/>
      <c r="L107" s="1"/>
      <c r="M107" s="1"/>
      <c r="N107" s="1"/>
      <c r="O107" s="1"/>
      <c r="P107" s="1"/>
      <c r="Q107" s="1"/>
      <c r="R107" s="16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row>
    <row r="108" ht="36.0" customHeight="1">
      <c r="A108" s="1"/>
      <c r="B108" s="454" t="s">
        <v>222</v>
      </c>
      <c r="C108" s="179"/>
      <c r="D108" s="122"/>
      <c r="E108" s="455" t="str">
        <f>IF(SUM(J114:J135)&gt;0,"Error - Trading Rules Not Satisfied - Insufficient Units Created Within Habitat Groups ▲", "Trading Rules Satisfied ✓")</f>
        <v>Error - Trading Rules Not Satisfied - Insufficient Units Created Within Habitat Groups ▲</v>
      </c>
      <c r="F108" s="179"/>
      <c r="G108" s="179"/>
      <c r="H108" s="179"/>
      <c r="I108" s="60"/>
      <c r="J108" s="10">
        <f t="shared" ref="J108:J109" si="73">IFERROR(FIND("Error",E108),0)</f>
        <v>1</v>
      </c>
      <c r="K108" s="1"/>
      <c r="L108" s="1"/>
      <c r="M108" s="1"/>
      <c r="N108" s="1"/>
      <c r="O108" s="1"/>
      <c r="P108" s="1"/>
      <c r="Q108" s="1"/>
      <c r="R108" s="16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row>
    <row r="109" ht="36.0" customHeight="1">
      <c r="A109" s="1"/>
      <c r="B109" s="456" t="s">
        <v>223</v>
      </c>
      <c r="C109" s="53"/>
      <c r="D109" s="51"/>
      <c r="E109" s="457" t="str">
        <f>IF(SUM(J138:J140)&gt;0,"Error - Trading Rules Not Satisfied - Insufficient Biodiversity Units Created ▲","Trading Rules Satisfied ✓")</f>
        <v>Error - Trading Rules Not Satisfied - Insufficient Biodiversity Units Created ▲</v>
      </c>
      <c r="F109" s="53"/>
      <c r="G109" s="53"/>
      <c r="H109" s="53"/>
      <c r="I109" s="54"/>
      <c r="J109" s="10">
        <f t="shared" si="73"/>
        <v>1</v>
      </c>
      <c r="K109" s="1"/>
      <c r="L109" s="1"/>
      <c r="M109" s="1"/>
      <c r="N109" s="1"/>
      <c r="O109" s="1"/>
      <c r="P109" s="1"/>
      <c r="Q109" s="1"/>
      <c r="R109" s="20"/>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row>
    <row r="110" ht="14.25" customHeight="1">
      <c r="A110" s="1"/>
      <c r="B110" s="1"/>
      <c r="C110" s="1"/>
      <c r="D110" s="1"/>
      <c r="E110" s="1"/>
      <c r="F110" s="1"/>
      <c r="G110" s="1"/>
      <c r="H110" s="1"/>
      <c r="I110" s="1"/>
      <c r="J110" s="1"/>
      <c r="K110" s="1"/>
      <c r="L110" s="1"/>
      <c r="M110" s="1"/>
      <c r="N110" s="1"/>
      <c r="O110" s="1"/>
      <c r="P110" s="1"/>
      <c r="Q110" s="1"/>
      <c r="R110" s="153"/>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row>
    <row r="111" ht="14.25" customHeight="1">
      <c r="A111" s="1"/>
      <c r="B111" s="128" t="s">
        <v>224</v>
      </c>
      <c r="C111" s="1"/>
      <c r="D111" s="1"/>
      <c r="E111" s="1"/>
      <c r="F111" s="1"/>
      <c r="G111" s="1"/>
      <c r="H111" s="1"/>
      <c r="I111" s="1"/>
      <c r="J111" s="1"/>
      <c r="K111" s="1"/>
      <c r="L111" s="1"/>
      <c r="M111" s="1"/>
      <c r="N111" s="1"/>
      <c r="O111" s="1"/>
      <c r="P111" s="1"/>
      <c r="Q111" s="1"/>
      <c r="R111" s="16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row>
    <row r="112" ht="14.25" customHeight="1">
      <c r="A112" s="1"/>
      <c r="B112" s="1"/>
      <c r="C112" s="1"/>
      <c r="D112" s="1"/>
      <c r="E112" s="1"/>
      <c r="F112" s="1"/>
      <c r="G112" s="1"/>
      <c r="H112" s="1"/>
      <c r="I112" s="1"/>
      <c r="J112" s="1"/>
      <c r="K112" s="1"/>
      <c r="L112" s="1"/>
      <c r="M112" s="1"/>
      <c r="N112" s="1"/>
      <c r="O112" s="1"/>
      <c r="P112" s="1"/>
      <c r="Q112" s="1"/>
      <c r="R112" s="16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row>
    <row r="113" ht="36.0" customHeight="1">
      <c r="A113" s="1"/>
      <c r="B113" s="458" t="s">
        <v>225</v>
      </c>
      <c r="C113" s="179"/>
      <c r="D113" s="122"/>
      <c r="E113" s="459" t="s">
        <v>226</v>
      </c>
      <c r="F113" s="459" t="s">
        <v>227</v>
      </c>
      <c r="G113" s="459" t="s">
        <v>228</v>
      </c>
      <c r="H113" s="459" t="s">
        <v>229</v>
      </c>
      <c r="I113" s="460" t="s">
        <v>230</v>
      </c>
      <c r="J113" s="461"/>
      <c r="K113" s="1"/>
      <c r="L113" s="1"/>
      <c r="M113" s="1"/>
      <c r="N113" s="1"/>
      <c r="O113" s="1"/>
      <c r="P113" s="1"/>
      <c r="Q113" s="1"/>
      <c r="R113" s="16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row>
    <row r="114" ht="15.0" customHeight="1">
      <c r="A114" s="1"/>
      <c r="B114" s="462" t="s">
        <v>231</v>
      </c>
      <c r="C114" s="36"/>
      <c r="D114" s="34"/>
      <c r="E114" s="463" t="s">
        <v>232</v>
      </c>
      <c r="F114" s="464">
        <f>SUMIFS($L$11:$L$30,$C$11:$C$30,$B114,$T$11:$T$30,$E114)</f>
        <v>0</v>
      </c>
      <c r="G114" s="464">
        <f>SUMIFS($L$40:$L$59,$C$40:$C$59,$B114,$T$40:$T$59,$E114)+SUMIFS($L$68:$L$87,AY68:AY87,B114,$AG$68:$AG$87,E114)+SUMIFS($AE$11:$AE$31,$C$11:$C$31,B114,$T$11:$T$31,E114)</f>
        <v>0</v>
      </c>
      <c r="H114" s="464">
        <f t="shared" ref="H114:H135" si="74">G114-F114</f>
        <v>0</v>
      </c>
      <c r="I114" s="465" t="s">
        <v>233</v>
      </c>
      <c r="J114" s="10"/>
      <c r="K114" s="1"/>
      <c r="L114" s="1"/>
      <c r="M114" s="1"/>
      <c r="N114" s="1"/>
      <c r="O114" s="1"/>
      <c r="P114" s="1"/>
      <c r="Q114" s="1"/>
      <c r="R114" s="16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row>
    <row r="115" ht="15.0" customHeight="1">
      <c r="A115" s="1"/>
      <c r="B115" s="28"/>
      <c r="C115" s="31"/>
      <c r="D115" s="29"/>
      <c r="E115" s="466" t="s">
        <v>234</v>
      </c>
      <c r="F115" s="464">
        <f>SUMIFS($L$11:$L$30,$C$11:$C$30,$B114,$T$11:$T$30,$E115)</f>
        <v>0</v>
      </c>
      <c r="G115" s="464">
        <f>SUMIFS($L$40:$L$59,$C$40:$C$59,$B114,$T$40:$T$59,$E115)+SUMIFS($L$68:$L$87,AY68:AY87,B114,$AG$68:$AG$87,E115)+SUMIFS($AE$11:$AE$31,$C$11:$C$31,B114,$T$11:$T$31,E115)</f>
        <v>0</v>
      </c>
      <c r="H115" s="464">
        <f t="shared" si="74"/>
        <v>0</v>
      </c>
      <c r="I115" s="467" t="str">
        <f>IF(F115=0,"N/A",IF(H115&lt;0,"No ▲","Yes ✓"))</f>
        <v>N/A</v>
      </c>
      <c r="J115" s="10">
        <f>IF(I115="No ▲",1,0)</f>
        <v>0</v>
      </c>
      <c r="K115" s="1"/>
      <c r="L115" s="1"/>
      <c r="M115" s="1"/>
      <c r="N115" s="1"/>
      <c r="O115" s="1"/>
      <c r="P115" s="1"/>
      <c r="Q115" s="1"/>
      <c r="R115" s="16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row>
    <row r="116" ht="15.0" customHeight="1">
      <c r="A116" s="1"/>
      <c r="B116" s="462" t="s">
        <v>235</v>
      </c>
      <c r="C116" s="36"/>
      <c r="D116" s="34"/>
      <c r="E116" s="463" t="s">
        <v>232</v>
      </c>
      <c r="F116" s="464">
        <f>SUMIFS($L$11:$L$30,$C$11:$C$30,$B116,$T$11:$T$30,$E116)</f>
        <v>0</v>
      </c>
      <c r="G116" s="464">
        <f>SUMIFS($L$40:$L$59,$C$40:$C$59,$B116,$T$40:$T$59,$E116)+SUMIFS($L$68:$L$87,AY68:AY87,B116,$AG$68:$AG$87,E116)+SUMIFS($AE$11:$AE$31,$C$11:$C$31,B116,$T$11:$T$31,E116)</f>
        <v>0</v>
      </c>
      <c r="H116" s="464">
        <f t="shared" si="74"/>
        <v>0</v>
      </c>
      <c r="I116" s="465" t="s">
        <v>233</v>
      </c>
      <c r="J116" s="10"/>
      <c r="K116" s="1"/>
      <c r="L116" s="1"/>
      <c r="M116" s="1"/>
      <c r="N116" s="1"/>
      <c r="O116" s="1"/>
      <c r="P116" s="1"/>
      <c r="Q116" s="1"/>
      <c r="R116" s="16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row>
    <row r="117" ht="15.0" customHeight="1">
      <c r="A117" s="1"/>
      <c r="B117" s="28"/>
      <c r="C117" s="31"/>
      <c r="D117" s="29"/>
      <c r="E117" s="466" t="s">
        <v>234</v>
      </c>
      <c r="F117" s="464">
        <f>SUMIFS($L$11:$L$30,$C$11:$C$30,$B116,$T$11:$T$30,$E117)</f>
        <v>0</v>
      </c>
      <c r="G117" s="464">
        <f>SUMIFS($L$40:$L$59,$C$40:$C$59,$B116,$T$40:$T$59,$E117)+SUMIFS($L$68:$L$87,AY68:AY87,B116,$AG$68:$AG$87,E117)+SUMIFS($AE$11:$AE$31,$C$11:$C$31,B116,$T$11:$T$31,E117)</f>
        <v>0</v>
      </c>
      <c r="H117" s="464">
        <f t="shared" si="74"/>
        <v>0</v>
      </c>
      <c r="I117" s="467" t="str">
        <f>IF(F117=0,"N/A",IF(H117&lt;0,"No ▲","Yes ✓"))</f>
        <v>N/A</v>
      </c>
      <c r="J117" s="10">
        <f>IF(I117="No ▲",1,0)</f>
        <v>0</v>
      </c>
      <c r="K117" s="1"/>
      <c r="L117" s="1"/>
      <c r="M117" s="1"/>
      <c r="N117" s="1"/>
      <c r="O117" s="1"/>
      <c r="P117" s="1"/>
      <c r="Q117" s="1"/>
      <c r="R117" s="16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row>
    <row r="118" ht="15.0" customHeight="1">
      <c r="A118" s="1"/>
      <c r="B118" s="462" t="s">
        <v>118</v>
      </c>
      <c r="C118" s="36"/>
      <c r="D118" s="34"/>
      <c r="E118" s="463" t="s">
        <v>232</v>
      </c>
      <c r="F118" s="464">
        <f>SUMIFS($L$11:$L$30,$C$11:$C$30,$B118,$T$11:$T$30,$E118)</f>
        <v>0</v>
      </c>
      <c r="G118" s="464">
        <f>SUMIFS($L$40:$L$59,$C$40:$C$59,$B118,$T$40:$T$59,$E118)+SUMIFS($L$68:$L$87,$C$68:$C$87,B118,$AG$68:$AG$87,E118)+SUMIFS($AE$11:$AE$31,$C$11:$C$31,B118,$T$11:$T$31,E118)</f>
        <v>0</v>
      </c>
      <c r="H118" s="464">
        <f t="shared" si="74"/>
        <v>0</v>
      </c>
      <c r="I118" s="465" t="s">
        <v>233</v>
      </c>
      <c r="J118" s="10"/>
      <c r="K118" s="1"/>
      <c r="L118" s="1"/>
      <c r="M118" s="1"/>
      <c r="N118" s="1"/>
      <c r="O118" s="1"/>
      <c r="P118" s="1"/>
      <c r="Q118" s="1"/>
      <c r="R118" s="16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row>
    <row r="119" ht="15.0" customHeight="1">
      <c r="A119" s="1"/>
      <c r="B119" s="28"/>
      <c r="C119" s="31"/>
      <c r="D119" s="29"/>
      <c r="E119" s="466" t="s">
        <v>234</v>
      </c>
      <c r="F119" s="464">
        <f>SUMIFS($L$11:$L$30,$C$11:$C$30,$B118,$T$11:$T$30,$E119)</f>
        <v>0.1096</v>
      </c>
      <c r="G119" s="464">
        <f>SUMIFS($L$40:$L$59,$C$40:$C$59,$B118,$T$40:$T$59,$E119)+SUMIFS($L$68:$L$87,$C$68:$C$87,B118,$AG$68:$AG$87,E119)+SUMIFS($AE$11:$AE$31,$C$11:$C$31,B118,$T$11:$T$31,E119)</f>
        <v>0</v>
      </c>
      <c r="H119" s="464">
        <f t="shared" si="74"/>
        <v>-0.1096</v>
      </c>
      <c r="I119" s="467" t="str">
        <f>IF(F119=0,"N/A",IF(H119&lt;0,"No ▲","Yes ✓"))</f>
        <v>No ▲</v>
      </c>
      <c r="J119" s="10">
        <f>IF(I119="No ▲",1,0)</f>
        <v>1</v>
      </c>
      <c r="K119" s="1"/>
      <c r="L119" s="1"/>
      <c r="M119" s="1"/>
      <c r="N119" s="1"/>
      <c r="O119" s="1"/>
      <c r="P119" s="1"/>
      <c r="Q119" s="1"/>
      <c r="R119" s="16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row>
    <row r="120" ht="15.0" customHeight="1">
      <c r="A120" s="1"/>
      <c r="B120" s="462" t="s">
        <v>236</v>
      </c>
      <c r="C120" s="36"/>
      <c r="D120" s="34"/>
      <c r="E120" s="463" t="s">
        <v>232</v>
      </c>
      <c r="F120" s="464">
        <f>SUMIFS($L$11:$L$30,$C$11:$C$30,$B120,$T$11:$T$30,$E120)</f>
        <v>0</v>
      </c>
      <c r="G120" s="464">
        <f>SUMIFS($L$40:$L$59,$C$40:$C$59,$B120,$T$40:$T$59,$E120)+SUMIFS($L$68:$L$87,$C$68:$C$87,B120,$AG$68:$AG$87,E120)+SUMIFS($AE$11:$AE$31,$C$11:$C$31,B120,$T$11:$T$31,E120)</f>
        <v>0</v>
      </c>
      <c r="H120" s="464">
        <f t="shared" si="74"/>
        <v>0</v>
      </c>
      <c r="I120" s="465" t="s">
        <v>233</v>
      </c>
      <c r="J120" s="10"/>
      <c r="K120" s="1"/>
      <c r="L120" s="1"/>
      <c r="M120" s="1"/>
      <c r="N120" s="1"/>
      <c r="O120" s="1"/>
      <c r="P120" s="1"/>
      <c r="Q120" s="1"/>
      <c r="R120" s="16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row>
    <row r="121" ht="15.0" customHeight="1">
      <c r="A121" s="1"/>
      <c r="B121" s="28"/>
      <c r="C121" s="31"/>
      <c r="D121" s="29"/>
      <c r="E121" s="466" t="s">
        <v>234</v>
      </c>
      <c r="F121" s="464">
        <f>SUMIFS($L$11:$L$30,$C$11:$C$30,$B120,$T$11:$T$30,$E121)</f>
        <v>0</v>
      </c>
      <c r="G121" s="464">
        <f>SUMIFS($L$40:$L$59,$C$40:$C$59,$B120,$T$40:$T$59,$E121)+SUMIFS($L$68:$L$87,$C$68:$C$87,B120,$AG$68:$AG$87,E121)+SUMIFS($AE$11:$AE$31,$C$11:$C$31,B120,$T$11:$T$31,E121)</f>
        <v>0</v>
      </c>
      <c r="H121" s="464">
        <f t="shared" si="74"/>
        <v>0</v>
      </c>
      <c r="I121" s="467" t="str">
        <f>IF(F121=0,"N/A",IF(H121&lt;0,"No ▲","Yes ✓"))</f>
        <v>N/A</v>
      </c>
      <c r="J121" s="10">
        <f>IF(I121="No ▲",1,0)</f>
        <v>0</v>
      </c>
      <c r="K121" s="1"/>
      <c r="L121" s="1"/>
      <c r="M121" s="1"/>
      <c r="N121" s="1"/>
      <c r="O121" s="1"/>
      <c r="P121" s="1"/>
      <c r="Q121" s="1"/>
      <c r="R121" s="16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row>
    <row r="122" ht="15.0" customHeight="1">
      <c r="A122" s="1"/>
      <c r="B122" s="462" t="s">
        <v>237</v>
      </c>
      <c r="C122" s="36"/>
      <c r="D122" s="34"/>
      <c r="E122" s="463" t="s">
        <v>232</v>
      </c>
      <c r="F122" s="464">
        <f>SUMIFS($L$11:$L$30,$C$11:$C$30,$B122,$T$11:$T$30,$E122)</f>
        <v>0</v>
      </c>
      <c r="G122" s="464">
        <f>SUMIFS($L$40:$L$59,$C$40:$C$59,$B122,$T$40:$T$59,$E122)+SUMIFS($L$68:$L$87,$C$68:$C$87,B122,$AG$68:$AG$87,E122)+SUMIFS($AE$11:$AE$31,$C$11:$C$31,B122,$T$11:$T$31,E122)</f>
        <v>0</v>
      </c>
      <c r="H122" s="464">
        <f t="shared" si="74"/>
        <v>0</v>
      </c>
      <c r="I122" s="465" t="s">
        <v>233</v>
      </c>
      <c r="J122" s="10"/>
      <c r="K122" s="1"/>
      <c r="L122" s="1"/>
      <c r="M122" s="1"/>
      <c r="N122" s="1"/>
      <c r="O122" s="1"/>
      <c r="P122" s="1"/>
      <c r="Q122" s="1"/>
      <c r="R122" s="16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row>
    <row r="123" ht="15.0" customHeight="1">
      <c r="A123" s="1"/>
      <c r="B123" s="28"/>
      <c r="C123" s="31"/>
      <c r="D123" s="29"/>
      <c r="E123" s="466" t="s">
        <v>234</v>
      </c>
      <c r="F123" s="464">
        <f>SUMIFS($L$11:$L$30,$C$11:$C$30,$B122,$T$11:$T$30,$E123)</f>
        <v>0</v>
      </c>
      <c r="G123" s="464">
        <f>SUMIFS($L$40:$L$59,$C$40:$C$59,$B$122,$T$40:$T$59,$E$123)+SUMIFS($L$68:$L$87,$C$68:$C$87,$B$122,$AG$68:$AG$87,$E$123)+SUMIFS($AE$11:$AE$31,$C$11:$C$31,$B$122,$T$11:$T$31,$E$123)</f>
        <v>0</v>
      </c>
      <c r="H123" s="464">
        <f t="shared" si="74"/>
        <v>0</v>
      </c>
      <c r="I123" s="467" t="str">
        <f>IF(F123=0,"N/A",IF(H123&lt;0,"No ▲","Yes ✓"))</f>
        <v>N/A</v>
      </c>
      <c r="J123" s="10">
        <f>IF(I123="No ▲",1,0)</f>
        <v>0</v>
      </c>
      <c r="K123" s="1"/>
      <c r="L123" s="1"/>
      <c r="M123" s="1"/>
      <c r="N123" s="1"/>
      <c r="O123" s="1"/>
      <c r="P123" s="1"/>
      <c r="Q123" s="1"/>
      <c r="R123" s="16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row>
    <row r="124" ht="15.0" customHeight="1">
      <c r="A124" s="1"/>
      <c r="B124" s="462" t="s">
        <v>238</v>
      </c>
      <c r="C124" s="36"/>
      <c r="D124" s="34"/>
      <c r="E124" s="463" t="s">
        <v>232</v>
      </c>
      <c r="F124" s="464">
        <f>SUMIFS($L$11:$L$30,$C$11:$C$30,$B124,$T$11:$T$30,$E124)</f>
        <v>0</v>
      </c>
      <c r="G124" s="464">
        <f>SUMIFS($L$40:$L$59,$C$40:$C$59,$B124,$T$40:$T$59,$E124)+SUMIFS($L$68:$L$87,$C$68:$C$87,B124,$AG$68:$AG$87,E124)+SUMIFS($AE$11:$AE$31,$C$11:$C$31,B124,$T$11:$T$31,E124)</f>
        <v>0</v>
      </c>
      <c r="H124" s="464">
        <f t="shared" si="74"/>
        <v>0</v>
      </c>
      <c r="I124" s="465" t="s">
        <v>233</v>
      </c>
      <c r="J124" s="10"/>
      <c r="K124" s="1"/>
      <c r="L124" s="1"/>
      <c r="M124" s="1"/>
      <c r="N124" s="1"/>
      <c r="O124" s="1"/>
      <c r="P124" s="1"/>
      <c r="Q124" s="1"/>
      <c r="R124" s="16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row>
    <row r="125" ht="15.0" customHeight="1">
      <c r="A125" s="1"/>
      <c r="B125" s="28"/>
      <c r="C125" s="31"/>
      <c r="D125" s="29"/>
      <c r="E125" s="466" t="s">
        <v>234</v>
      </c>
      <c r="F125" s="464">
        <f>SUMIFS($L$11:$L$30,$C$11:$C$30,$B124,$T$11:$T$30,$E125)</f>
        <v>0</v>
      </c>
      <c r="G125" s="464">
        <f>SUMIFS($L$40:$L$59,$C$40:$C$59,$B$124,$T$40:$T$59,$E125)+SUMIFS($L$68:$L$87,$C$68:$C$87,B124,$AG$68:$AG$87,E125)+SUMIFS($AE$11:$AE$31,$C$11:$C$31,$B$124,$T$11:$T$31,$E$125)</f>
        <v>0</v>
      </c>
      <c r="H125" s="464">
        <f t="shared" si="74"/>
        <v>0</v>
      </c>
      <c r="I125" s="467" t="str">
        <f>IF(F125=0,"N/A",IF(H125&lt;0,"No ▲","Yes ✓"))</f>
        <v>N/A</v>
      </c>
      <c r="J125" s="10">
        <f>IF(I125="No ▲",1,0)</f>
        <v>0</v>
      </c>
      <c r="K125" s="1"/>
      <c r="L125" s="1"/>
      <c r="M125" s="1"/>
      <c r="N125" s="1"/>
      <c r="O125" s="1"/>
      <c r="P125" s="1"/>
      <c r="Q125" s="1"/>
      <c r="R125" s="16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row>
    <row r="126" ht="15.0" customHeight="1">
      <c r="A126" s="1"/>
      <c r="B126" s="462" t="s">
        <v>239</v>
      </c>
      <c r="C126" s="36"/>
      <c r="D126" s="34"/>
      <c r="E126" s="463" t="s">
        <v>232</v>
      </c>
      <c r="F126" s="464">
        <f>SUMIFS($L$11:$L$30,$C$11:$C$30,$B126,$T$11:$T$30,$E126)</f>
        <v>0</v>
      </c>
      <c r="G126" s="464">
        <f>SUMIFS($L$40:$L$59,$C$40:$C$59,$B126,$T$40:$T$59,$E126)+SUMIFS($L$68:$L$87,AY68:AY87,B126,$AG$68:$AG$87,E126)+SUMIFS($AE$11:$AE$31,$C$11:$C$31,B126,$T$11:$T$31,E126)</f>
        <v>0</v>
      </c>
      <c r="H126" s="464">
        <f t="shared" si="74"/>
        <v>0</v>
      </c>
      <c r="I126" s="465" t="s">
        <v>233</v>
      </c>
      <c r="J126" s="10"/>
      <c r="K126" s="1"/>
      <c r="L126" s="1"/>
      <c r="M126" s="1"/>
      <c r="N126" s="1"/>
      <c r="O126" s="1"/>
      <c r="P126" s="1"/>
      <c r="Q126" s="1"/>
      <c r="R126" s="16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row>
    <row r="127" ht="15.0" customHeight="1">
      <c r="A127" s="1"/>
      <c r="B127" s="28"/>
      <c r="C127" s="31"/>
      <c r="D127" s="29"/>
      <c r="E127" s="466" t="s">
        <v>234</v>
      </c>
      <c r="F127" s="464">
        <f>SUMIFS($L$11:$L$30,$C$11:$C$30,$B126,$T$11:$T$30,$E127)</f>
        <v>0</v>
      </c>
      <c r="G127" s="464">
        <f>SUMIFS($L$40:$L$59,$C$40:$C$59,$B126,$T$40:$T$59,$E127)+SUMIFS($L$68:$L$87,AY68:AY87,B126,$AG$68:$AG$87,E127)+SUMIFS($AE$11:$AE$31,$C$11:$C$31,B126,$T$11:$T$31,E127)</f>
        <v>0</v>
      </c>
      <c r="H127" s="464">
        <f t="shared" si="74"/>
        <v>0</v>
      </c>
      <c r="I127" s="467" t="str">
        <f>IF(F127=0,"N/A",IF(H127&lt;0,"No ▲","Yes ✓"))</f>
        <v>N/A</v>
      </c>
      <c r="J127" s="10">
        <f>IF(I127="No ▲",1,0)</f>
        <v>0</v>
      </c>
      <c r="K127" s="1"/>
      <c r="L127" s="1"/>
      <c r="M127" s="1"/>
      <c r="N127" s="1"/>
      <c r="O127" s="1"/>
      <c r="P127" s="1"/>
      <c r="Q127" s="1"/>
      <c r="R127" s="16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row>
    <row r="128" ht="15.0" customHeight="1">
      <c r="A128" s="1"/>
      <c r="B128" s="462" t="s">
        <v>114</v>
      </c>
      <c r="C128" s="36"/>
      <c r="D128" s="34"/>
      <c r="E128" s="463" t="s">
        <v>232</v>
      </c>
      <c r="F128" s="464">
        <f>SUMIFS($L$11:$L$30,$C$11:$C$30,$B128,$T$11:$T$30,$E128)</f>
        <v>0.0888</v>
      </c>
      <c r="G128" s="464">
        <f>SUMIFS($L$40:$L$59,$C$40:$C$59,$B128,$T$40:$T$59,$E128)+SUMIFS($L$68:$L$87,AY68:AY87,B128,$AG$68:$AG$87,E128)+SUMIFS($AE$11:$AE$31,$C$11:$C$31,B128,$T$11:$T$31,E128)</f>
        <v>0.113697</v>
      </c>
      <c r="H128" s="464">
        <f t="shared" si="74"/>
        <v>0.024897</v>
      </c>
      <c r="I128" s="465" t="s">
        <v>233</v>
      </c>
      <c r="J128" s="10"/>
      <c r="K128" s="1"/>
      <c r="L128" s="1"/>
      <c r="M128" s="1"/>
      <c r="N128" s="1"/>
      <c r="O128" s="1"/>
      <c r="P128" s="1"/>
      <c r="Q128" s="1"/>
      <c r="R128" s="16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row>
    <row r="129" ht="15.0" customHeight="1">
      <c r="A129" s="1"/>
      <c r="B129" s="28"/>
      <c r="C129" s="31"/>
      <c r="D129" s="29"/>
      <c r="E129" s="466" t="s">
        <v>234</v>
      </c>
      <c r="F129" s="464">
        <f>SUMIFS($L$11:$L$30,$C$11:$C$30,$B128,$T$11:$T$30,$E129)</f>
        <v>0</v>
      </c>
      <c r="G129" s="464">
        <f>SUMIFS($L$40:$L$59,$C$40:$C$59,$B128,$T$40:$T$59,$E129)+SUMIFS($L$68:$L$87,AY68:AY87,B128,$AG$68:$AG$87,E129)+SUMIFS($AE$11:$AE$31,$C$11:$C$31,B128,$T$11:$T$31,E129)</f>
        <v>0</v>
      </c>
      <c r="H129" s="464">
        <f t="shared" si="74"/>
        <v>0</v>
      </c>
      <c r="I129" s="467" t="str">
        <f>IF(F129=0,"N/A",IF(H129&lt;0,"No ▲","Yes ✓"))</f>
        <v>N/A</v>
      </c>
      <c r="J129" s="10">
        <f>IF(I129="No ▲",1,0)</f>
        <v>0</v>
      </c>
      <c r="K129" s="1"/>
      <c r="L129" s="1"/>
      <c r="M129" s="1"/>
      <c r="N129" s="1"/>
      <c r="O129" s="1"/>
      <c r="P129" s="1"/>
      <c r="Q129" s="1"/>
      <c r="R129" s="16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row>
    <row r="130" ht="15.0" customHeight="1">
      <c r="A130" s="1"/>
      <c r="B130" s="462" t="s">
        <v>240</v>
      </c>
      <c r="C130" s="36"/>
      <c r="D130" s="34"/>
      <c r="E130" s="463" t="s">
        <v>232</v>
      </c>
      <c r="F130" s="464">
        <f>SUMIFS($L$11:$L$30,$C$11:$C$30,$B130,$T$11:$T$30,$E130)</f>
        <v>0</v>
      </c>
      <c r="G130" s="464">
        <f>SUMIFS($L$40:$L$59,$C$40:$C$59,$B130,$T$40:$T$59,$E130)+SUMIFS($L$68:$L$87,$C$68:$C$87,B130,$AG$68:$AG$87,E130)+SUMIFS($AE$11:$AE$31,$C$11:$C$31,B130,$T$11:$T$31,E130)</f>
        <v>0</v>
      </c>
      <c r="H130" s="464">
        <f t="shared" si="74"/>
        <v>0</v>
      </c>
      <c r="I130" s="465" t="s">
        <v>233</v>
      </c>
      <c r="J130" s="10"/>
      <c r="K130" s="1"/>
      <c r="L130" s="1"/>
      <c r="M130" s="1"/>
      <c r="N130" s="1"/>
      <c r="O130" s="1"/>
      <c r="P130" s="1"/>
      <c r="Q130" s="1"/>
      <c r="R130" s="16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row>
    <row r="131" ht="15.0" customHeight="1">
      <c r="A131" s="1"/>
      <c r="B131" s="28"/>
      <c r="C131" s="31"/>
      <c r="D131" s="29"/>
      <c r="E131" s="466" t="s">
        <v>234</v>
      </c>
      <c r="F131" s="464">
        <f>SUMIFS($L$11:$L$30,$C$11:$C$30,$B130,$T$11:$T$30,$E131)</f>
        <v>0</v>
      </c>
      <c r="G131" s="464">
        <f>SUMIFS($L$40:$L$59,$C$40:$C$59,$B130,$T$40:$T$59,$E131)+SUMIFS($L$68:$L$87,$C$68:$C$87,B130,$AG$68:$AG$87,E131)+SUMIFS($AE$11:$AE$31,$C$11:$C$31,B130,$T$11:$T$31,E131)</f>
        <v>0</v>
      </c>
      <c r="H131" s="464">
        <f t="shared" si="74"/>
        <v>0</v>
      </c>
      <c r="I131" s="467" t="str">
        <f>IF(F131=0,"N/A",IF(H131&lt;0,"No ▲","Yes ✓"))</f>
        <v>N/A</v>
      </c>
      <c r="J131" s="10">
        <f>IF(I131="No ▲",1,0)</f>
        <v>0</v>
      </c>
      <c r="K131" s="1"/>
      <c r="L131" s="1"/>
      <c r="M131" s="1"/>
      <c r="N131" s="1"/>
      <c r="O131" s="1"/>
      <c r="P131" s="1"/>
      <c r="Q131" s="1"/>
      <c r="R131" s="16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row>
    <row r="132" ht="15.0" customHeight="1">
      <c r="A132" s="1"/>
      <c r="B132" s="462" t="s">
        <v>241</v>
      </c>
      <c r="C132" s="36"/>
      <c r="D132" s="468"/>
      <c r="E132" s="463" t="s">
        <v>232</v>
      </c>
      <c r="F132" s="464">
        <f>SUMIFS($L$11:$L$30,$C$11:$C$30,$B132,$T$11:$T$30,$E132)</f>
        <v>0</v>
      </c>
      <c r="G132" s="464">
        <f>SUMIFS($L$40:$L$59,$C$40:$C$59,$B132,$T$40:$T$59,$E132)+SUMIFS($L$68:$L$87,$C$68:$C$87,B132,$AG$68:$AG$87,E132)+SUMIFS($AE$11:$AE$31,$C$11:$C$31,B132,$T$11:$T$31,E132)</f>
        <v>0</v>
      </c>
      <c r="H132" s="464">
        <f t="shared" si="74"/>
        <v>0</v>
      </c>
      <c r="I132" s="465" t="s">
        <v>233</v>
      </c>
      <c r="J132" s="10"/>
      <c r="K132" s="1"/>
      <c r="L132" s="1"/>
      <c r="M132" s="1"/>
      <c r="N132" s="1"/>
      <c r="O132" s="1"/>
      <c r="P132" s="1"/>
      <c r="Q132" s="1"/>
      <c r="R132" s="16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row>
    <row r="133" ht="15.0" customHeight="1">
      <c r="A133" s="1"/>
      <c r="B133" s="469"/>
      <c r="C133" s="8"/>
      <c r="D133" s="9"/>
      <c r="E133" s="470" t="s">
        <v>234</v>
      </c>
      <c r="F133" s="471">
        <f>SUMIFS($L$11:$L$30,$C$11:$C$30,$B132,$T$11:$T$30,$E133)</f>
        <v>0</v>
      </c>
      <c r="G133" s="471">
        <f>SUMIFS($L$40:$L$59,$C$40:$C$59,$B132,$T$40:$T$59,$E133)+SUMIFS($L$68:$L$87,$C$68:$C$87,B132,$AG$68:$AG$87,E133)+SUMIFS($AE$11:$AE$31,$C$11:$C$31,B132,$T$11:$T$31,E133)</f>
        <v>0</v>
      </c>
      <c r="H133" s="471">
        <f t="shared" si="74"/>
        <v>0</v>
      </c>
      <c r="I133" s="472" t="str">
        <f>IF(F133=0,"N/A",IF(H133&lt;0,"No ▲","Yes ✓"))</f>
        <v>N/A</v>
      </c>
      <c r="J133" s="10">
        <f>IF(I133="No ▲",1,0)</f>
        <v>0</v>
      </c>
      <c r="K133" s="1"/>
      <c r="L133" s="1"/>
      <c r="M133" s="1"/>
      <c r="N133" s="1"/>
      <c r="O133" s="1"/>
      <c r="P133" s="1"/>
      <c r="Q133" s="1"/>
      <c r="R133" s="16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row>
    <row r="134" ht="15.0" customHeight="1">
      <c r="A134" s="1"/>
      <c r="B134" s="462" t="s">
        <v>121</v>
      </c>
      <c r="C134" s="36"/>
      <c r="D134" s="34"/>
      <c r="E134" s="463" t="s">
        <v>232</v>
      </c>
      <c r="F134" s="464">
        <f>SUMIFS($L$11:$L$31,$C$11:$C$31,$B134,$T$11:$T$31,$E134)</f>
        <v>0</v>
      </c>
      <c r="G134" s="464">
        <f>SUMIFS($L$40:$L$60,$C$40:$C$60,$B134,$T$40:$T$60,$E134)+SUMIFS($L$68:$L$88,$C$68:$C$88,B134,$AG$68:$AG$88,E134)+SUMIFS($AE$11:$AE$31,$C$11:$C$31,B134,$T$11:$T$31,E134)</f>
        <v>0</v>
      </c>
      <c r="H134" s="464">
        <f t="shared" si="74"/>
        <v>0</v>
      </c>
      <c r="I134" s="465" t="s">
        <v>233</v>
      </c>
      <c r="J134" s="10"/>
      <c r="K134" s="1"/>
      <c r="L134" s="1"/>
      <c r="M134" s="1"/>
      <c r="N134" s="1"/>
      <c r="O134" s="1"/>
      <c r="P134" s="1"/>
      <c r="Q134" s="1"/>
      <c r="R134" s="16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row>
    <row r="135" ht="22.5" customHeight="1">
      <c r="A135" s="1"/>
      <c r="B135" s="170"/>
      <c r="C135" s="171"/>
      <c r="D135" s="431"/>
      <c r="E135" s="473" t="s">
        <v>234</v>
      </c>
      <c r="F135" s="474">
        <f>SUMIFS($L$11:$L$31,$C$11:$C$31,$B134,$T$11:$T$31,$E135)</f>
        <v>0.411827328</v>
      </c>
      <c r="G135" s="474">
        <f>SUMIFS($L$40:$L$60,$C$40:$C$60,$B134,$T$40:$T$60,$E135)+SUMIFS($L$68:$L$88,$C$68:$C$88,B134,$AG$68:$AG$88,E135)+SUMIFS($AE$11:$AE$31,$C$11:$C$31,B134,$T$11:$T$31,E135)</f>
        <v>0.336949632</v>
      </c>
      <c r="H135" s="474">
        <f t="shared" si="74"/>
        <v>-0.074877696</v>
      </c>
      <c r="I135" s="475" t="str">
        <f>IF(F135=0,"N/A",IF(H135&lt;0,"No ▲","Yes ✓"))</f>
        <v>No ▲</v>
      </c>
      <c r="J135" s="10">
        <f>IF(I135="No ▲",1,0)</f>
        <v>1</v>
      </c>
      <c r="K135" s="1"/>
      <c r="L135" s="1"/>
      <c r="M135" s="1"/>
      <c r="N135" s="1"/>
      <c r="O135" s="1"/>
      <c r="P135" s="1"/>
      <c r="Q135" s="1"/>
      <c r="R135" s="16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row>
    <row r="136" ht="15.0" customHeight="1">
      <c r="A136" s="1"/>
      <c r="B136" s="1"/>
      <c r="C136" s="1"/>
      <c r="D136" s="1"/>
      <c r="E136" s="1"/>
      <c r="F136" s="1"/>
      <c r="G136" s="1"/>
      <c r="H136" s="1"/>
      <c r="I136" s="1"/>
      <c r="J136" s="10"/>
      <c r="K136" s="1"/>
      <c r="L136" s="1"/>
      <c r="M136" s="154"/>
      <c r="N136" s="1"/>
      <c r="O136" s="1"/>
      <c r="P136" s="1"/>
      <c r="Q136" s="1"/>
      <c r="R136" s="16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row>
    <row r="137" ht="14.25" customHeight="1">
      <c r="A137" s="1"/>
      <c r="B137" s="454" t="s">
        <v>226</v>
      </c>
      <c r="C137" s="179"/>
      <c r="D137" s="179"/>
      <c r="E137" s="122"/>
      <c r="F137" s="476" t="s">
        <v>227</v>
      </c>
      <c r="G137" s="476" t="s">
        <v>228</v>
      </c>
      <c r="H137" s="476" t="s">
        <v>229</v>
      </c>
      <c r="I137" s="477" t="s">
        <v>230</v>
      </c>
      <c r="J137" s="10"/>
      <c r="K137" s="1"/>
      <c r="L137" s="1"/>
      <c r="M137" s="154"/>
      <c r="N137" s="1"/>
      <c r="O137" s="1"/>
      <c r="P137" s="1"/>
      <c r="Q137" s="1"/>
      <c r="R137" s="20"/>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row>
    <row r="138" ht="30.0" customHeight="1">
      <c r="A138" s="1"/>
      <c r="B138" s="478" t="s">
        <v>242</v>
      </c>
      <c r="C138" s="42"/>
      <c r="D138" s="42"/>
      <c r="E138" s="47"/>
      <c r="F138" s="464">
        <f>SUMIFS($L$11:$L$31,$T$11:$T$31,"Medium")</f>
        <v>0.521427328</v>
      </c>
      <c r="G138" s="479">
        <f>IF(L61+L89+P1=0,0,SUMIFS($L$40:$L$60,$T$40:$T$60,"Medium")+SUMIFS($L$68:$L$87,$AG$68:$AG$87,"Medium")+SUMIFS($AE$11:$AE$31,$T$11:$T$31,"Medium"))</f>
        <v>0.336949632</v>
      </c>
      <c r="H138" s="464">
        <f t="shared" ref="H138:H139" si="75">IFERROR(G138-F138,"")</f>
        <v>-0.184477696</v>
      </c>
      <c r="I138" s="480" t="str">
        <f>IF(G138="","",IF(H138&gt;=0,"Yes ✓","No ▲"))</f>
        <v>No ▲</v>
      </c>
      <c r="J138" s="10">
        <f t="shared" ref="J138:J140" si="76">IF(I138="No ▲",1,0)</f>
        <v>1</v>
      </c>
      <c r="K138" s="1"/>
      <c r="L138" s="1"/>
      <c r="M138" s="1"/>
      <c r="N138" s="1"/>
      <c r="O138" s="1"/>
      <c r="P138" s="1"/>
      <c r="Q138" s="1"/>
      <c r="R138" s="153" t="s">
        <v>77</v>
      </c>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row>
    <row r="139" ht="30.0" customHeight="1">
      <c r="A139" s="1"/>
      <c r="B139" s="478" t="s">
        <v>243</v>
      </c>
      <c r="C139" s="42"/>
      <c r="D139" s="42"/>
      <c r="E139" s="47"/>
      <c r="F139" s="464">
        <f>SUMIFS($L$11:$L$31,$T$11:$T$31,"Low")</f>
        <v>0.0888</v>
      </c>
      <c r="G139" s="479">
        <f>IF(L61+L89+P1=0,0,SUMIFS($L$40:$L$60,$T$40:$T$60,"Low")+SUMIFS($L$68:$L$88,$AG$68:$AG$88,"Low")+SUMIFS($AE$11:$AE$31,$T$11:$T$31,"Low"))</f>
        <v>0.113697</v>
      </c>
      <c r="H139" s="464">
        <f t="shared" si="75"/>
        <v>0.024897</v>
      </c>
      <c r="I139" s="480" t="str">
        <f>IF($I$142&gt;=0,"Yes ✓","No ▲")</f>
        <v>Yes ✓</v>
      </c>
      <c r="J139" s="10">
        <f t="shared" si="76"/>
        <v>0</v>
      </c>
      <c r="K139" s="1"/>
      <c r="L139" s="1"/>
      <c r="M139" s="1"/>
      <c r="N139" s="1"/>
      <c r="O139" s="1"/>
      <c r="P139" s="1"/>
      <c r="Q139" s="1"/>
      <c r="R139" s="16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row>
    <row r="140" ht="41.25" customHeight="1">
      <c r="A140" s="1"/>
      <c r="B140" s="481" t="s">
        <v>244</v>
      </c>
      <c r="C140" s="53"/>
      <c r="D140" s="53"/>
      <c r="E140" s="51"/>
      <c r="F140" s="482">
        <f>IFERROR(H138+H139,"")</f>
        <v>-0.159580696</v>
      </c>
      <c r="G140" s="53"/>
      <c r="H140" s="51"/>
      <c r="I140" s="483" t="str">
        <f>IF(F140="","",IF(F140&gt;=0,"Yes ✓","No ▲"))</f>
        <v>No ▲</v>
      </c>
      <c r="J140" s="10">
        <f t="shared" si="76"/>
        <v>1</v>
      </c>
      <c r="K140" s="1"/>
      <c r="L140" s="1"/>
      <c r="M140" s="1"/>
      <c r="N140" s="1"/>
      <c r="O140" s="1"/>
      <c r="P140" s="1"/>
      <c r="Q140" s="1"/>
      <c r="R140" s="16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row>
    <row r="141" ht="14.25" customHeight="1">
      <c r="A141" s="1"/>
      <c r="B141" s="1"/>
      <c r="C141" s="1"/>
      <c r="D141" s="1"/>
      <c r="E141" s="1"/>
      <c r="F141" s="1"/>
      <c r="G141" s="1"/>
      <c r="H141" s="1"/>
      <c r="I141" s="1"/>
      <c r="J141" s="1"/>
      <c r="K141" s="1"/>
      <c r="L141" s="1"/>
      <c r="M141" s="1"/>
      <c r="N141" s="1"/>
      <c r="O141" s="1"/>
      <c r="P141" s="1"/>
      <c r="Q141" s="1"/>
      <c r="R141" s="16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row>
    <row r="142" ht="14.25" customHeight="1">
      <c r="A142" s="1"/>
      <c r="B142" s="1"/>
      <c r="C142" s="1"/>
      <c r="D142" s="1"/>
      <c r="E142" s="1"/>
      <c r="F142" s="1"/>
      <c r="G142" s="1"/>
      <c r="H142" s="1"/>
      <c r="I142" s="484">
        <f>IF($H$138&gt;0,($H$139+$H$138),$H$139)</f>
        <v>0.024897</v>
      </c>
      <c r="J142" s="1"/>
      <c r="K142" s="1"/>
      <c r="L142" s="1"/>
      <c r="M142" s="1"/>
      <c r="N142" s="1"/>
      <c r="O142" s="1"/>
      <c r="P142" s="1"/>
      <c r="Q142" s="1"/>
      <c r="R142" s="16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row>
    <row r="143" ht="14.25" customHeight="1">
      <c r="A143" s="1"/>
      <c r="B143" s="1"/>
      <c r="C143" s="1"/>
      <c r="D143" s="1"/>
      <c r="E143" s="1"/>
      <c r="F143" s="1"/>
      <c r="G143" s="1"/>
      <c r="H143" s="1"/>
      <c r="I143" s="1"/>
      <c r="J143" s="1"/>
      <c r="K143" s="1"/>
      <c r="L143" s="1"/>
      <c r="M143" s="1"/>
      <c r="N143" s="1"/>
      <c r="O143" s="1"/>
      <c r="P143" s="1"/>
      <c r="Q143" s="1"/>
      <c r="R143" s="16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row>
    <row r="144" ht="14.25" customHeight="1">
      <c r="A144" s="1"/>
      <c r="B144" s="1"/>
      <c r="C144" s="1"/>
      <c r="D144" s="1"/>
      <c r="E144" s="1"/>
      <c r="F144" s="1"/>
      <c r="G144" s="1"/>
      <c r="H144" s="1"/>
      <c r="I144" s="1"/>
      <c r="J144" s="1"/>
      <c r="K144" s="1"/>
      <c r="L144" s="1"/>
      <c r="M144" s="1"/>
      <c r="N144" s="1"/>
      <c r="O144" s="1"/>
      <c r="P144" s="1"/>
      <c r="Q144" s="1"/>
      <c r="R144" s="16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row>
    <row r="145" ht="14.25" customHeight="1">
      <c r="A145" s="1"/>
      <c r="B145" s="1"/>
      <c r="C145" s="1"/>
      <c r="D145" s="1"/>
      <c r="E145" s="1"/>
      <c r="F145" s="1"/>
      <c r="G145" s="1"/>
      <c r="H145" s="1"/>
      <c r="I145" s="1"/>
      <c r="J145" s="1"/>
      <c r="K145" s="1"/>
      <c r="L145" s="1"/>
      <c r="M145" s="1"/>
      <c r="N145" s="1"/>
      <c r="O145" s="1"/>
      <c r="P145" s="1"/>
      <c r="Q145" s="1"/>
      <c r="R145" s="16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row>
    <row r="146" ht="14.25" customHeight="1">
      <c r="A146" s="1"/>
      <c r="B146" s="1"/>
      <c r="C146" s="1"/>
      <c r="D146" s="1"/>
      <c r="E146" s="1"/>
      <c r="F146" s="1"/>
      <c r="G146" s="1"/>
      <c r="H146" s="1"/>
      <c r="I146" s="1"/>
      <c r="J146" s="1"/>
      <c r="K146" s="1"/>
      <c r="L146" s="1"/>
      <c r="M146" s="1"/>
      <c r="N146" s="1"/>
      <c r="O146" s="1"/>
      <c r="P146" s="1"/>
      <c r="Q146" s="1"/>
      <c r="R146" s="16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row>
    <row r="147" ht="14.25" customHeight="1">
      <c r="A147" s="1"/>
      <c r="B147" s="1"/>
      <c r="C147" s="1"/>
      <c r="D147" s="1"/>
      <c r="E147" s="1"/>
      <c r="F147" s="1"/>
      <c r="G147" s="1"/>
      <c r="H147" s="1"/>
      <c r="I147" s="1"/>
      <c r="J147" s="1"/>
      <c r="K147" s="1"/>
      <c r="L147" s="1"/>
      <c r="M147" s="1"/>
      <c r="N147" s="1"/>
      <c r="O147" s="1"/>
      <c r="P147" s="1"/>
      <c r="Q147" s="1"/>
      <c r="R147" s="16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row>
    <row r="148" ht="14.25" customHeight="1">
      <c r="A148" s="1"/>
      <c r="B148" s="1"/>
      <c r="C148" s="1"/>
      <c r="D148" s="1"/>
      <c r="E148" s="1"/>
      <c r="F148" s="1"/>
      <c r="G148" s="1"/>
      <c r="H148" s="1"/>
      <c r="I148" s="1"/>
      <c r="J148" s="1"/>
      <c r="K148" s="1"/>
      <c r="L148" s="1"/>
      <c r="M148" s="1"/>
      <c r="N148" s="1"/>
      <c r="O148" s="1"/>
      <c r="P148" s="1"/>
      <c r="Q148" s="1"/>
      <c r="R148" s="16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row>
    <row r="149" ht="14.25" customHeight="1">
      <c r="A149" s="1"/>
      <c r="B149" s="1"/>
      <c r="C149" s="1"/>
      <c r="D149" s="1"/>
      <c r="E149" s="1"/>
      <c r="F149" s="1"/>
      <c r="G149" s="1"/>
      <c r="H149" s="1"/>
      <c r="I149" s="1"/>
      <c r="J149" s="1"/>
      <c r="K149" s="1"/>
      <c r="L149" s="1"/>
      <c r="M149" s="1"/>
      <c r="N149" s="1"/>
      <c r="O149" s="1"/>
      <c r="P149" s="1"/>
      <c r="Q149" s="1"/>
      <c r="R149" s="16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row>
    <row r="150" ht="14.25" customHeight="1">
      <c r="A150" s="1"/>
      <c r="B150" s="1"/>
      <c r="C150" s="1"/>
      <c r="D150" s="1"/>
      <c r="E150" s="1"/>
      <c r="F150" s="1"/>
      <c r="G150" s="1"/>
      <c r="H150" s="1"/>
      <c r="I150" s="1"/>
      <c r="J150" s="1"/>
      <c r="K150" s="1"/>
      <c r="L150" s="1"/>
      <c r="M150" s="1"/>
      <c r="N150" s="1"/>
      <c r="O150" s="1"/>
      <c r="P150" s="1"/>
      <c r="Q150" s="1"/>
      <c r="R150" s="16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row>
    <row r="151" ht="14.25" customHeight="1">
      <c r="A151" s="1"/>
      <c r="B151" s="1"/>
      <c r="C151" s="1"/>
      <c r="D151" s="1"/>
      <c r="E151" s="1"/>
      <c r="F151" s="1"/>
      <c r="G151" s="1"/>
      <c r="H151" s="1"/>
      <c r="I151" s="1"/>
      <c r="J151" s="1"/>
      <c r="K151" s="1"/>
      <c r="L151" s="1"/>
      <c r="M151" s="1"/>
      <c r="N151" s="1"/>
      <c r="O151" s="1"/>
      <c r="P151" s="1"/>
      <c r="Q151" s="1"/>
      <c r="R151" s="16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row>
    <row r="152" ht="14.25" customHeight="1">
      <c r="A152" s="1"/>
      <c r="B152" s="1"/>
      <c r="C152" s="1"/>
      <c r="D152" s="1"/>
      <c r="E152" s="1"/>
      <c r="F152" s="1"/>
      <c r="G152" s="1"/>
      <c r="H152" s="1"/>
      <c r="I152" s="1"/>
      <c r="J152" s="1"/>
      <c r="K152" s="1"/>
      <c r="L152" s="1"/>
      <c r="M152" s="1"/>
      <c r="N152" s="1"/>
      <c r="O152" s="1"/>
      <c r="P152" s="1"/>
      <c r="Q152" s="1"/>
      <c r="R152" s="16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row>
    <row r="153" ht="14.25" customHeight="1">
      <c r="A153" s="1"/>
      <c r="B153" s="1"/>
      <c r="C153" s="1"/>
      <c r="D153" s="1"/>
      <c r="E153" s="1"/>
      <c r="F153" s="1"/>
      <c r="G153" s="1"/>
      <c r="H153" s="1"/>
      <c r="I153" s="1"/>
      <c r="J153" s="1"/>
      <c r="K153" s="1"/>
      <c r="L153" s="1"/>
      <c r="M153" s="1"/>
      <c r="N153" s="1"/>
      <c r="O153" s="1"/>
      <c r="P153" s="1"/>
      <c r="Q153" s="1"/>
      <c r="R153" s="16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row>
    <row r="154" ht="14.25" customHeight="1">
      <c r="A154" s="1"/>
      <c r="B154" s="1"/>
      <c r="C154" s="1"/>
      <c r="D154" s="1"/>
      <c r="E154" s="1"/>
      <c r="F154" s="1"/>
      <c r="G154" s="1"/>
      <c r="H154" s="1"/>
      <c r="I154" s="1"/>
      <c r="J154" s="1"/>
      <c r="K154" s="1"/>
      <c r="L154" s="1"/>
      <c r="M154" s="1"/>
      <c r="N154" s="1"/>
      <c r="O154" s="1"/>
      <c r="P154" s="1"/>
      <c r="Q154" s="1"/>
      <c r="R154" s="16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row>
    <row r="155" ht="14.25" customHeight="1">
      <c r="A155" s="1"/>
      <c r="B155" s="1"/>
      <c r="C155" s="1"/>
      <c r="D155" s="1"/>
      <c r="E155" s="1"/>
      <c r="F155" s="1"/>
      <c r="G155" s="1"/>
      <c r="H155" s="1"/>
      <c r="I155" s="1"/>
      <c r="J155" s="1"/>
      <c r="K155" s="1"/>
      <c r="L155" s="1"/>
      <c r="M155" s="1"/>
      <c r="N155" s="1"/>
      <c r="O155" s="1"/>
      <c r="P155" s="1"/>
      <c r="Q155" s="1"/>
      <c r="R155" s="16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row>
    <row r="156" ht="14.25" customHeight="1">
      <c r="A156" s="1"/>
      <c r="B156" s="1"/>
      <c r="C156" s="1"/>
      <c r="D156" s="1"/>
      <c r="E156" s="1"/>
      <c r="F156" s="1"/>
      <c r="G156" s="1"/>
      <c r="H156" s="1"/>
      <c r="I156" s="1"/>
      <c r="J156" s="1"/>
      <c r="K156" s="1"/>
      <c r="L156" s="1"/>
      <c r="M156" s="1"/>
      <c r="N156" s="1"/>
      <c r="O156" s="1"/>
      <c r="P156" s="1"/>
      <c r="Q156" s="1"/>
      <c r="R156" s="16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row>
    <row r="157" ht="14.25" customHeight="1">
      <c r="A157" s="1"/>
      <c r="B157" s="1"/>
      <c r="C157" s="1"/>
      <c r="D157" s="1"/>
      <c r="E157" s="1"/>
      <c r="F157" s="1"/>
      <c r="G157" s="1"/>
      <c r="H157" s="1"/>
      <c r="I157" s="1"/>
      <c r="J157" s="1"/>
      <c r="K157" s="1"/>
      <c r="L157" s="1"/>
      <c r="M157" s="1"/>
      <c r="N157" s="1"/>
      <c r="O157" s="1"/>
      <c r="P157" s="1"/>
      <c r="Q157" s="1"/>
      <c r="R157" s="16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row>
    <row r="158" ht="14.25" customHeight="1">
      <c r="A158" s="1"/>
      <c r="B158" s="1"/>
      <c r="C158" s="1"/>
      <c r="D158" s="1"/>
      <c r="E158" s="1"/>
      <c r="F158" s="1"/>
      <c r="G158" s="1"/>
      <c r="H158" s="1"/>
      <c r="I158" s="1"/>
      <c r="J158" s="1"/>
      <c r="K158" s="1"/>
      <c r="L158" s="1"/>
      <c r="M158" s="1"/>
      <c r="N158" s="1"/>
      <c r="O158" s="1"/>
      <c r="P158" s="1"/>
      <c r="Q158" s="1"/>
      <c r="R158" s="16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row>
    <row r="159" ht="14.25" customHeight="1">
      <c r="A159" s="1"/>
      <c r="B159" s="1"/>
      <c r="C159" s="1"/>
      <c r="D159" s="1"/>
      <c r="E159" s="1"/>
      <c r="F159" s="1"/>
      <c r="G159" s="1"/>
      <c r="H159" s="1"/>
      <c r="I159" s="1"/>
      <c r="J159" s="1"/>
      <c r="K159" s="1"/>
      <c r="L159" s="1"/>
      <c r="M159" s="1"/>
      <c r="N159" s="1"/>
      <c r="O159" s="1"/>
      <c r="P159" s="1"/>
      <c r="Q159" s="1"/>
      <c r="R159" s="16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row>
    <row r="160" ht="14.25" customHeight="1">
      <c r="A160" s="1"/>
      <c r="B160" s="1"/>
      <c r="C160" s="1"/>
      <c r="D160" s="1"/>
      <c r="E160" s="1"/>
      <c r="F160" s="1"/>
      <c r="G160" s="1"/>
      <c r="H160" s="1"/>
      <c r="I160" s="1"/>
      <c r="J160" s="1"/>
      <c r="K160" s="1"/>
      <c r="L160" s="1"/>
      <c r="M160" s="1"/>
      <c r="N160" s="1"/>
      <c r="O160" s="1"/>
      <c r="P160" s="1"/>
      <c r="Q160" s="1"/>
      <c r="R160" s="16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row>
    <row r="161" ht="14.25" customHeight="1">
      <c r="A161" s="1"/>
      <c r="B161" s="1"/>
      <c r="C161" s="1"/>
      <c r="D161" s="1"/>
      <c r="E161" s="1"/>
      <c r="F161" s="1"/>
      <c r="G161" s="1"/>
      <c r="H161" s="1"/>
      <c r="I161" s="1"/>
      <c r="J161" s="1"/>
      <c r="K161" s="1"/>
      <c r="L161" s="1"/>
      <c r="M161" s="1"/>
      <c r="N161" s="1"/>
      <c r="O161" s="1"/>
      <c r="P161" s="1"/>
      <c r="Q161" s="1"/>
      <c r="R161" s="16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row>
    <row r="162" ht="14.25" customHeight="1">
      <c r="A162" s="1"/>
      <c r="B162" s="1"/>
      <c r="C162" s="1"/>
      <c r="D162" s="1"/>
      <c r="E162" s="1"/>
      <c r="F162" s="1"/>
      <c r="G162" s="1"/>
      <c r="H162" s="1"/>
      <c r="I162" s="1"/>
      <c r="J162" s="1"/>
      <c r="K162" s="1"/>
      <c r="L162" s="1"/>
      <c r="M162" s="1"/>
      <c r="N162" s="1"/>
      <c r="O162" s="1"/>
      <c r="P162" s="1"/>
      <c r="Q162" s="1"/>
      <c r="R162" s="16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row>
    <row r="163" ht="14.25" customHeight="1">
      <c r="A163" s="1"/>
      <c r="B163" s="1"/>
      <c r="C163" s="1"/>
      <c r="D163" s="1"/>
      <c r="E163" s="1"/>
      <c r="F163" s="1"/>
      <c r="G163" s="1"/>
      <c r="H163" s="1"/>
      <c r="I163" s="1"/>
      <c r="J163" s="1"/>
      <c r="K163" s="1"/>
      <c r="L163" s="1"/>
      <c r="M163" s="1"/>
      <c r="N163" s="1"/>
      <c r="O163" s="1"/>
      <c r="P163" s="1"/>
      <c r="Q163" s="1"/>
      <c r="R163" s="16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row>
    <row r="164" ht="14.25" customHeight="1">
      <c r="A164" s="1"/>
      <c r="B164" s="1"/>
      <c r="C164" s="1"/>
      <c r="D164" s="1"/>
      <c r="E164" s="1"/>
      <c r="F164" s="1"/>
      <c r="G164" s="1"/>
      <c r="H164" s="1"/>
      <c r="I164" s="1"/>
      <c r="J164" s="1"/>
      <c r="K164" s="1"/>
      <c r="L164" s="1"/>
      <c r="M164" s="1"/>
      <c r="N164" s="1"/>
      <c r="O164" s="1"/>
      <c r="P164" s="1"/>
      <c r="Q164" s="1"/>
      <c r="R164" s="16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row>
    <row r="165" ht="14.25" customHeight="1">
      <c r="A165" s="1"/>
      <c r="B165" s="1"/>
      <c r="C165" s="1"/>
      <c r="D165" s="1"/>
      <c r="E165" s="1"/>
      <c r="F165" s="1"/>
      <c r="G165" s="1"/>
      <c r="H165" s="1"/>
      <c r="I165" s="1"/>
      <c r="J165" s="1"/>
      <c r="K165" s="1"/>
      <c r="L165" s="1"/>
      <c r="M165" s="1"/>
      <c r="N165" s="1"/>
      <c r="O165" s="1"/>
      <c r="P165" s="1"/>
      <c r="Q165" s="1"/>
      <c r="R165" s="16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row>
    <row r="166" ht="14.25" customHeight="1">
      <c r="A166" s="1"/>
      <c r="B166" s="1"/>
      <c r="C166" s="1"/>
      <c r="D166" s="1"/>
      <c r="E166" s="1"/>
      <c r="F166" s="1"/>
      <c r="G166" s="1"/>
      <c r="H166" s="1"/>
      <c r="I166" s="1"/>
      <c r="J166" s="1"/>
      <c r="K166" s="1"/>
      <c r="L166" s="1"/>
      <c r="M166" s="1"/>
      <c r="N166" s="1"/>
      <c r="O166" s="1"/>
      <c r="P166" s="1"/>
      <c r="Q166" s="1"/>
      <c r="R166" s="16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row>
    <row r="167" ht="14.25" customHeight="1">
      <c r="A167" s="1"/>
      <c r="B167" s="1"/>
      <c r="C167" s="1"/>
      <c r="D167" s="1"/>
      <c r="E167" s="1"/>
      <c r="F167" s="1"/>
      <c r="G167" s="1"/>
      <c r="H167" s="1"/>
      <c r="I167" s="1"/>
      <c r="J167" s="1"/>
      <c r="K167" s="1"/>
      <c r="L167" s="1"/>
      <c r="M167" s="1"/>
      <c r="N167" s="1"/>
      <c r="O167" s="1"/>
      <c r="P167" s="1"/>
      <c r="Q167" s="1"/>
      <c r="R167" s="16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row>
    <row r="168" ht="14.25" customHeight="1">
      <c r="A168" s="1"/>
      <c r="B168" s="1"/>
      <c r="C168" s="1"/>
      <c r="D168" s="1"/>
      <c r="E168" s="1"/>
      <c r="F168" s="1"/>
      <c r="G168" s="1"/>
      <c r="H168" s="1"/>
      <c r="I168" s="1"/>
      <c r="J168" s="1"/>
      <c r="K168" s="1"/>
      <c r="L168" s="1"/>
      <c r="M168" s="1"/>
      <c r="N168" s="1"/>
      <c r="O168" s="1"/>
      <c r="P168" s="1"/>
      <c r="Q168" s="1"/>
      <c r="R168" s="16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row>
    <row r="169" ht="14.25" customHeight="1">
      <c r="A169" s="1"/>
      <c r="B169" s="1"/>
      <c r="C169" s="1"/>
      <c r="D169" s="1"/>
      <c r="E169" s="1"/>
      <c r="F169" s="1"/>
      <c r="G169" s="1"/>
      <c r="H169" s="1"/>
      <c r="I169" s="1"/>
      <c r="J169" s="1"/>
      <c r="K169" s="1"/>
      <c r="L169" s="1"/>
      <c r="M169" s="1"/>
      <c r="N169" s="1"/>
      <c r="O169" s="1"/>
      <c r="P169" s="1"/>
      <c r="Q169" s="1"/>
      <c r="R169" s="20"/>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row>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32">
    <mergeCell ref="J76:K76"/>
    <mergeCell ref="J77:K77"/>
    <mergeCell ref="J69:K69"/>
    <mergeCell ref="J70:K70"/>
    <mergeCell ref="J71:K71"/>
    <mergeCell ref="J72:K72"/>
    <mergeCell ref="J73:K73"/>
    <mergeCell ref="J74:K74"/>
    <mergeCell ref="J75:K75"/>
    <mergeCell ref="I53:K53"/>
    <mergeCell ref="I54:K54"/>
    <mergeCell ref="I55:K55"/>
    <mergeCell ref="I56:K56"/>
    <mergeCell ref="I57:K57"/>
    <mergeCell ref="I58:K58"/>
    <mergeCell ref="I59:K59"/>
    <mergeCell ref="AF66:AP66"/>
    <mergeCell ref="AR66:AX66"/>
    <mergeCell ref="J66:K67"/>
    <mergeCell ref="L66:L67"/>
    <mergeCell ref="M66:N67"/>
    <mergeCell ref="O66:P66"/>
    <mergeCell ref="T66:AD66"/>
    <mergeCell ref="AE66:AE67"/>
    <mergeCell ref="AQ66:AQ67"/>
    <mergeCell ref="I60:K60"/>
    <mergeCell ref="I61:K61"/>
    <mergeCell ref="B66:B67"/>
    <mergeCell ref="C66:D66"/>
    <mergeCell ref="E66:G66"/>
    <mergeCell ref="H66:H67"/>
    <mergeCell ref="I66:I67"/>
    <mergeCell ref="F70:G70"/>
    <mergeCell ref="F71:G71"/>
    <mergeCell ref="F72:G72"/>
    <mergeCell ref="F73:G73"/>
    <mergeCell ref="F74:G74"/>
    <mergeCell ref="F75:G75"/>
    <mergeCell ref="F76:G76"/>
    <mergeCell ref="F77:G77"/>
    <mergeCell ref="M71:N71"/>
    <mergeCell ref="M72:N72"/>
    <mergeCell ref="M73:N73"/>
    <mergeCell ref="M74:N74"/>
    <mergeCell ref="M75:N75"/>
    <mergeCell ref="M76:N76"/>
    <mergeCell ref="M77:N77"/>
    <mergeCell ref="F67:G67"/>
    <mergeCell ref="F68:G68"/>
    <mergeCell ref="J68:K68"/>
    <mergeCell ref="M68:N68"/>
    <mergeCell ref="F69:G69"/>
    <mergeCell ref="M69:N69"/>
    <mergeCell ref="M70:N70"/>
    <mergeCell ref="F47:G47"/>
    <mergeCell ref="F48:G48"/>
    <mergeCell ref="F49:G49"/>
    <mergeCell ref="F50:G50"/>
    <mergeCell ref="F51:G51"/>
    <mergeCell ref="F52:G52"/>
    <mergeCell ref="F53:G53"/>
    <mergeCell ref="I46:K46"/>
    <mergeCell ref="I47:K47"/>
    <mergeCell ref="I48:K48"/>
    <mergeCell ref="I49:K49"/>
    <mergeCell ref="I50:K50"/>
    <mergeCell ref="I51:K51"/>
    <mergeCell ref="I52:K52"/>
    <mergeCell ref="F40:G40"/>
    <mergeCell ref="F41:G41"/>
    <mergeCell ref="I41:K41"/>
    <mergeCell ref="L41:N41"/>
    <mergeCell ref="F42:G42"/>
    <mergeCell ref="L42:N42"/>
    <mergeCell ref="L43:N43"/>
    <mergeCell ref="I42:K42"/>
    <mergeCell ref="I43:K43"/>
    <mergeCell ref="I44:K44"/>
    <mergeCell ref="I45:K45"/>
    <mergeCell ref="F46:G46"/>
    <mergeCell ref="L46:N46"/>
    <mergeCell ref="L47:N47"/>
    <mergeCell ref="L55:N55"/>
    <mergeCell ref="L56:N56"/>
    <mergeCell ref="L57:N57"/>
    <mergeCell ref="L58:N58"/>
    <mergeCell ref="L59:N59"/>
    <mergeCell ref="L60:N60"/>
    <mergeCell ref="L61:N61"/>
    <mergeCell ref="I62:N62"/>
    <mergeCell ref="F54:G54"/>
    <mergeCell ref="F55:G55"/>
    <mergeCell ref="F56:G56"/>
    <mergeCell ref="F57:G57"/>
    <mergeCell ref="F58:G58"/>
    <mergeCell ref="F59:G59"/>
    <mergeCell ref="F60:G60"/>
    <mergeCell ref="F140:H140"/>
    <mergeCell ref="J78:K78"/>
    <mergeCell ref="J79:K79"/>
    <mergeCell ref="J80:K80"/>
    <mergeCell ref="J81:K81"/>
    <mergeCell ref="J82:K82"/>
    <mergeCell ref="J83:K83"/>
    <mergeCell ref="J84:K84"/>
    <mergeCell ref="J85:K85"/>
    <mergeCell ref="L48:N48"/>
    <mergeCell ref="L49:N49"/>
    <mergeCell ref="L50:N50"/>
    <mergeCell ref="L51:N51"/>
    <mergeCell ref="L52:N52"/>
    <mergeCell ref="L53:N53"/>
    <mergeCell ref="L54:N54"/>
    <mergeCell ref="M85:N85"/>
    <mergeCell ref="R110:R137"/>
    <mergeCell ref="R138:R169"/>
    <mergeCell ref="M78:N78"/>
    <mergeCell ref="M79:N79"/>
    <mergeCell ref="M80:N80"/>
    <mergeCell ref="M81:N81"/>
    <mergeCell ref="M82:N82"/>
    <mergeCell ref="M83:N83"/>
    <mergeCell ref="M84:N84"/>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F9:H10"/>
    <mergeCell ref="I9:K9"/>
    <mergeCell ref="T10:U10"/>
    <mergeCell ref="T11:U11"/>
    <mergeCell ref="T12:U12"/>
    <mergeCell ref="AH9:AH10"/>
    <mergeCell ref="AI9:AI10"/>
    <mergeCell ref="L9:N9"/>
    <mergeCell ref="O9:P9"/>
    <mergeCell ref="T9:V9"/>
    <mergeCell ref="W9:X9"/>
    <mergeCell ref="Y9:AA9"/>
    <mergeCell ref="AB9:AD9"/>
    <mergeCell ref="AE9:AG9"/>
    <mergeCell ref="D10:E10"/>
    <mergeCell ref="D11:E11"/>
    <mergeCell ref="D13:E13"/>
    <mergeCell ref="F13:H13"/>
    <mergeCell ref="T13:U13"/>
    <mergeCell ref="D14:E14"/>
    <mergeCell ref="F14:H14"/>
    <mergeCell ref="T14:U14"/>
    <mergeCell ref="D15:E15"/>
    <mergeCell ref="F15:H15"/>
    <mergeCell ref="T15:U15"/>
    <mergeCell ref="T16:U16"/>
    <mergeCell ref="T17:U17"/>
    <mergeCell ref="T18:U18"/>
    <mergeCell ref="T19:U19"/>
    <mergeCell ref="D23:E23"/>
    <mergeCell ref="F23:H23"/>
    <mergeCell ref="D24:E24"/>
    <mergeCell ref="F24:H24"/>
    <mergeCell ref="D25:E25"/>
    <mergeCell ref="F25:H25"/>
    <mergeCell ref="D26:E26"/>
    <mergeCell ref="F26:H26"/>
    <mergeCell ref="D27:E27"/>
    <mergeCell ref="F27:H27"/>
    <mergeCell ref="D28:E28"/>
    <mergeCell ref="F28:H28"/>
    <mergeCell ref="D29:E29"/>
    <mergeCell ref="F29:H29"/>
    <mergeCell ref="F11:H11"/>
    <mergeCell ref="D12:E12"/>
    <mergeCell ref="F12:H12"/>
    <mergeCell ref="D30:E30"/>
    <mergeCell ref="F30:H30"/>
    <mergeCell ref="I33:N33"/>
    <mergeCell ref="I34:N34"/>
    <mergeCell ref="I35:N35"/>
    <mergeCell ref="I38:K39"/>
    <mergeCell ref="L38:N39"/>
    <mergeCell ref="O38:P38"/>
    <mergeCell ref="I40:K40"/>
    <mergeCell ref="L40:N40"/>
    <mergeCell ref="R1:R32"/>
    <mergeCell ref="C2:D2"/>
    <mergeCell ref="F2:H6"/>
    <mergeCell ref="J2:M5"/>
    <mergeCell ref="C3:D3"/>
    <mergeCell ref="B9:B10"/>
    <mergeCell ref="C9:E9"/>
    <mergeCell ref="D31:E31"/>
    <mergeCell ref="F31:H31"/>
    <mergeCell ref="B38:B39"/>
    <mergeCell ref="C38:D38"/>
    <mergeCell ref="E38:G38"/>
    <mergeCell ref="H38:H39"/>
    <mergeCell ref="F39:G39"/>
    <mergeCell ref="F43:G43"/>
    <mergeCell ref="F44:G44"/>
    <mergeCell ref="F45:G45"/>
    <mergeCell ref="L44:N44"/>
    <mergeCell ref="L45:N45"/>
    <mergeCell ref="T49:U49"/>
    <mergeCell ref="T50:U50"/>
    <mergeCell ref="T51:U51"/>
    <mergeCell ref="T52:U52"/>
    <mergeCell ref="T53:U53"/>
    <mergeCell ref="T54:U54"/>
    <mergeCell ref="T55:U55"/>
    <mergeCell ref="T56:U56"/>
    <mergeCell ref="T57:U57"/>
    <mergeCell ref="T58:U58"/>
    <mergeCell ref="T59:U59"/>
    <mergeCell ref="T60:U60"/>
    <mergeCell ref="R65:R109"/>
    <mergeCell ref="T27:U27"/>
    <mergeCell ref="T28:U28"/>
    <mergeCell ref="T29:U29"/>
    <mergeCell ref="T30:U30"/>
    <mergeCell ref="T31:U31"/>
    <mergeCell ref="R35:R64"/>
    <mergeCell ref="T38:V38"/>
    <mergeCell ref="T20:U20"/>
    <mergeCell ref="T21:U21"/>
    <mergeCell ref="T22:U22"/>
    <mergeCell ref="T23:U23"/>
    <mergeCell ref="T24:U24"/>
    <mergeCell ref="T25:U25"/>
    <mergeCell ref="T26:U26"/>
    <mergeCell ref="W38:X38"/>
    <mergeCell ref="Y38:AA38"/>
    <mergeCell ref="AB38:AD38"/>
    <mergeCell ref="AE38:AF38"/>
    <mergeCell ref="AG38:AH38"/>
    <mergeCell ref="T39:U39"/>
    <mergeCell ref="T40:U40"/>
    <mergeCell ref="T41:U41"/>
    <mergeCell ref="T42:U42"/>
    <mergeCell ref="T43:U43"/>
    <mergeCell ref="T44:U44"/>
    <mergeCell ref="T45:U45"/>
    <mergeCell ref="T46:U46"/>
    <mergeCell ref="T47:U47"/>
    <mergeCell ref="T48:U48"/>
    <mergeCell ref="E96:F96"/>
    <mergeCell ref="G96:H96"/>
    <mergeCell ref="B97:C97"/>
    <mergeCell ref="E97:F97"/>
    <mergeCell ref="G97:H97"/>
    <mergeCell ref="E98:F98"/>
    <mergeCell ref="G98:H98"/>
    <mergeCell ref="I96:K96"/>
    <mergeCell ref="L96:N96"/>
    <mergeCell ref="I97:K97"/>
    <mergeCell ref="L97:N97"/>
    <mergeCell ref="O97:P97"/>
    <mergeCell ref="I98:K98"/>
    <mergeCell ref="O98:P98"/>
    <mergeCell ref="L98:N98"/>
    <mergeCell ref="A102:Q104"/>
    <mergeCell ref="B108:D108"/>
    <mergeCell ref="E108:I108"/>
    <mergeCell ref="B109:D109"/>
    <mergeCell ref="E109:I109"/>
    <mergeCell ref="B113:D113"/>
    <mergeCell ref="B128:D129"/>
    <mergeCell ref="B130:D131"/>
    <mergeCell ref="B132:D133"/>
    <mergeCell ref="B134:D135"/>
    <mergeCell ref="B137:E137"/>
    <mergeCell ref="B138:E138"/>
    <mergeCell ref="B139:E139"/>
    <mergeCell ref="B140:E140"/>
    <mergeCell ref="B114:D115"/>
    <mergeCell ref="B116:D117"/>
    <mergeCell ref="B118:D119"/>
    <mergeCell ref="B120:D121"/>
    <mergeCell ref="B122:D123"/>
    <mergeCell ref="B124:D125"/>
    <mergeCell ref="B126:D127"/>
    <mergeCell ref="F85:G85"/>
    <mergeCell ref="F86:G86"/>
    <mergeCell ref="J86:K86"/>
    <mergeCell ref="M86:N86"/>
    <mergeCell ref="J87:K87"/>
    <mergeCell ref="M87:N87"/>
    <mergeCell ref="F78:G78"/>
    <mergeCell ref="F79:G79"/>
    <mergeCell ref="F80:G80"/>
    <mergeCell ref="F81:G81"/>
    <mergeCell ref="F82:G82"/>
    <mergeCell ref="F83:G83"/>
    <mergeCell ref="F84:G84"/>
    <mergeCell ref="E93:F94"/>
    <mergeCell ref="G93:H94"/>
    <mergeCell ref="I93:P93"/>
    <mergeCell ref="I94:K94"/>
    <mergeCell ref="L94:N94"/>
    <mergeCell ref="O94:P94"/>
    <mergeCell ref="F87:G87"/>
    <mergeCell ref="F88:G88"/>
    <mergeCell ref="J88:K88"/>
    <mergeCell ref="M88:N88"/>
    <mergeCell ref="M89:N89"/>
    <mergeCell ref="B93:C94"/>
    <mergeCell ref="D93:D94"/>
    <mergeCell ref="B95:C95"/>
    <mergeCell ref="E95:F95"/>
    <mergeCell ref="G95:H95"/>
    <mergeCell ref="I95:K95"/>
    <mergeCell ref="L95:N95"/>
    <mergeCell ref="O95:P95"/>
    <mergeCell ref="B96:C96"/>
    <mergeCell ref="O96:P96"/>
    <mergeCell ref="B98:C98"/>
    <mergeCell ref="B99:C99"/>
    <mergeCell ref="E99:F99"/>
    <mergeCell ref="G99:H99"/>
    <mergeCell ref="I99:K99"/>
    <mergeCell ref="L99:N99"/>
    <mergeCell ref="O99:P99"/>
    <mergeCell ref="E100:G100"/>
  </mergeCells>
  <conditionalFormatting sqref="AG11:AG31">
    <cfRule type="cellIs" dxfId="1" priority="1" operator="equal">
      <formula>"Unacceptable Loss"</formula>
    </cfRule>
  </conditionalFormatting>
  <conditionalFormatting sqref="L11:M30">
    <cfRule type="expression" dxfId="6" priority="2">
      <formula>"p18=""Avoid"""</formula>
    </cfRule>
  </conditionalFormatting>
  <conditionalFormatting sqref="L11:M30">
    <cfRule type="cellIs" dxfId="6" priority="3" operator="equal">
      <formula>"Any loss Unacceptable"</formula>
    </cfRule>
  </conditionalFormatting>
  <conditionalFormatting sqref="L11:M30">
    <cfRule type="cellIs" dxfId="6" priority="4" operator="equal">
      <formula>"Any loss Unacceptable"</formula>
    </cfRule>
  </conditionalFormatting>
  <conditionalFormatting sqref="X11:X31">
    <cfRule type="cellIs" dxfId="1" priority="5" operator="equal">
      <formula>"Not Possible"</formula>
    </cfRule>
  </conditionalFormatting>
  <conditionalFormatting sqref="AG11:AG31">
    <cfRule type="cellIs" dxfId="1" priority="6" operator="equal">
      <formula>"Unacceptable Loss"</formula>
    </cfRule>
  </conditionalFormatting>
  <conditionalFormatting sqref="AG11:AG31">
    <cfRule type="cellIs" dxfId="1" priority="7" operator="equal">
      <formula>"Unacceptable Loss"</formula>
    </cfRule>
  </conditionalFormatting>
  <conditionalFormatting sqref="N11:N30">
    <cfRule type="containsText" dxfId="1" priority="8" operator="containsText" text="▲">
      <formula>NOT(ISERROR(SEARCH(("▲"),(N11))))</formula>
    </cfRule>
  </conditionalFormatting>
  <conditionalFormatting sqref="N11:N30">
    <cfRule type="cellIs" dxfId="1" priority="9" operator="equal">
      <formula>"Unacceptable Loss"</formula>
    </cfRule>
  </conditionalFormatting>
  <conditionalFormatting sqref="N11:N30">
    <cfRule type="cellIs" dxfId="1" priority="10" operator="equal">
      <formula>"Unacceptable Loss"</formula>
    </cfRule>
  </conditionalFormatting>
  <conditionalFormatting sqref="N11:N30">
    <cfRule type="cellIs" dxfId="6" priority="11" operator="equal">
      <formula>"Compensation Agreed"</formula>
    </cfRule>
  </conditionalFormatting>
  <conditionalFormatting sqref="N11:N30">
    <cfRule type="cellIs" dxfId="1" priority="12" operator="equal">
      <formula>"Unacceptable Loss"</formula>
    </cfRule>
  </conditionalFormatting>
  <conditionalFormatting sqref="N11:N30">
    <cfRule type="cellIs" dxfId="1" priority="13" operator="equal">
      <formula>"Unacceptable Loss"</formula>
    </cfRule>
  </conditionalFormatting>
  <conditionalFormatting sqref="N11:N30">
    <cfRule type="cellIs" dxfId="6" priority="14" operator="equal">
      <formula>"Compensation Agreed"</formula>
    </cfRule>
  </conditionalFormatting>
  <conditionalFormatting sqref="N11:N30">
    <cfRule type="cellIs" dxfId="1" priority="15" operator="equal">
      <formula>"Unacceptable Loss"</formula>
    </cfRule>
  </conditionalFormatting>
  <conditionalFormatting sqref="N11:N30">
    <cfRule type="cellIs" dxfId="6" priority="16" operator="equal">
      <formula>"Unacceptable Loss"</formula>
    </cfRule>
  </conditionalFormatting>
  <conditionalFormatting sqref="N11:N30">
    <cfRule type="cellIs" dxfId="8" priority="17" operator="equal">
      <formula>"Alternative Compensation"</formula>
    </cfRule>
  </conditionalFormatting>
  <conditionalFormatting sqref="L40:M59">
    <cfRule type="cellIs" dxfId="1" priority="18" operator="equal">
      <formula>"Unacceptable Loss"</formula>
    </cfRule>
  </conditionalFormatting>
  <conditionalFormatting sqref="L40:M59">
    <cfRule type="cellIs" dxfId="6" priority="19" operator="equal">
      <formula>"Compensation Agreed"</formula>
    </cfRule>
  </conditionalFormatting>
  <conditionalFormatting sqref="L40:M59">
    <cfRule type="cellIs" dxfId="1" priority="20" operator="equal">
      <formula>"Unacceptable Loss"</formula>
    </cfRule>
  </conditionalFormatting>
  <conditionalFormatting sqref="L40:M59">
    <cfRule type="cellIs" dxfId="1" priority="21" operator="equal">
      <formula>"Unacceptable Loss"</formula>
    </cfRule>
  </conditionalFormatting>
  <conditionalFormatting sqref="L40:M59">
    <cfRule type="cellIs" dxfId="1" priority="22" operator="equal">
      <formula>"Unacceptable Loss"</formula>
    </cfRule>
  </conditionalFormatting>
  <conditionalFormatting sqref="L40:M59">
    <cfRule type="cellIs" dxfId="6" priority="23" operator="equal">
      <formula>"Compensation Agreed"</formula>
    </cfRule>
  </conditionalFormatting>
  <conditionalFormatting sqref="L40:M59">
    <cfRule type="cellIs" dxfId="1" priority="24" operator="equal">
      <formula>"Unacceptable Loss"</formula>
    </cfRule>
  </conditionalFormatting>
  <conditionalFormatting sqref="L40:M59">
    <cfRule type="cellIs" dxfId="1" priority="25" operator="equal">
      <formula>"Unacceptable Loss"</formula>
    </cfRule>
  </conditionalFormatting>
  <conditionalFormatting sqref="L40:M59">
    <cfRule type="cellIs" dxfId="9" priority="26" operator="equal">
      <formula>"Alternative Compensation"</formula>
    </cfRule>
  </conditionalFormatting>
  <conditionalFormatting sqref="I114:I133">
    <cfRule type="containsText" dxfId="10" priority="27" operator="containsText" text="Yes">
      <formula>NOT(ISERROR(SEARCH(("Yes"),(I114))))</formula>
    </cfRule>
  </conditionalFormatting>
  <conditionalFormatting sqref="I114:I133">
    <cfRule type="containsText" dxfId="1" priority="28" operator="containsText" text="No">
      <formula>NOT(ISERROR(SEARCH(("No"),(I114))))</formula>
    </cfRule>
  </conditionalFormatting>
  <conditionalFormatting sqref="I138:I139">
    <cfRule type="containsText" dxfId="10" priority="29" operator="containsText" text="Yes">
      <formula>NOT(ISERROR(SEARCH(("Yes"),(I138))))</formula>
    </cfRule>
  </conditionalFormatting>
  <conditionalFormatting sqref="I138:I139">
    <cfRule type="containsText" dxfId="1" priority="30" operator="containsText" text="No">
      <formula>NOT(ISERROR(SEARCH(("No"),(I138))))</formula>
    </cfRule>
  </conditionalFormatting>
  <conditionalFormatting sqref="E108:E109">
    <cfRule type="containsText" dxfId="10" priority="31" operator="containsText" text="Trading Rules Satisfied">
      <formula>NOT(ISERROR(SEARCH(("Trading Rules Satisfied"),(E108))))</formula>
    </cfRule>
  </conditionalFormatting>
  <conditionalFormatting sqref="E108:E109">
    <cfRule type="containsText" dxfId="1" priority="32" operator="containsText" text="Error - Trading Rules Not Satisfied">
      <formula>NOT(ISERROR(SEARCH(("Error - Trading Rules Not Satisfied"),(E108))))</formula>
    </cfRule>
  </conditionalFormatting>
  <conditionalFormatting sqref="I140">
    <cfRule type="containsText" dxfId="10" priority="33" operator="containsText" text="Yes">
      <formula>NOT(ISERROR(SEARCH(("Yes"),(I140))))</formula>
    </cfRule>
  </conditionalFormatting>
  <conditionalFormatting sqref="I140">
    <cfRule type="containsText" dxfId="1" priority="34" operator="containsText" text="No">
      <formula>NOT(ISERROR(SEARCH(("No"),(I140))))</formula>
    </cfRule>
  </conditionalFormatting>
  <conditionalFormatting sqref="L60:M60">
    <cfRule type="cellIs" dxfId="1" priority="35" operator="equal">
      <formula>"Unacceptable Loss"</formula>
    </cfRule>
  </conditionalFormatting>
  <conditionalFormatting sqref="L60:M60">
    <cfRule type="cellIs" dxfId="6" priority="36" operator="equal">
      <formula>"Compensation Agreed"</formula>
    </cfRule>
  </conditionalFormatting>
  <conditionalFormatting sqref="L60:M60">
    <cfRule type="cellIs" dxfId="1" priority="37" operator="equal">
      <formula>"Unacceptable Loss"</formula>
    </cfRule>
  </conditionalFormatting>
  <conditionalFormatting sqref="L60:M60">
    <cfRule type="cellIs" dxfId="1" priority="38" operator="equal">
      <formula>"Unacceptable Loss"</formula>
    </cfRule>
  </conditionalFormatting>
  <conditionalFormatting sqref="L60:M60">
    <cfRule type="cellIs" dxfId="1" priority="39" operator="equal">
      <formula>"Unacceptable Loss"</formula>
    </cfRule>
  </conditionalFormatting>
  <conditionalFormatting sqref="L60:M60">
    <cfRule type="cellIs" dxfId="6" priority="40" operator="equal">
      <formula>"Compensation Agreed"</formula>
    </cfRule>
  </conditionalFormatting>
  <conditionalFormatting sqref="L60:M60">
    <cfRule type="cellIs" dxfId="1" priority="41" operator="equal">
      <formula>"Unacceptable Loss"</formula>
    </cfRule>
  </conditionalFormatting>
  <conditionalFormatting sqref="L60:M60">
    <cfRule type="cellIs" dxfId="1" priority="42" operator="equal">
      <formula>"Unacceptable Loss"</formula>
    </cfRule>
  </conditionalFormatting>
  <conditionalFormatting sqref="L60:M60">
    <cfRule type="cellIs" dxfId="9" priority="43" operator="equal">
      <formula>"Alternative Compensation"</formula>
    </cfRule>
  </conditionalFormatting>
  <conditionalFormatting sqref="L31:M31">
    <cfRule type="cellIs" dxfId="1" priority="44" operator="equal">
      <formula>"Unacceptable Loss"</formula>
    </cfRule>
  </conditionalFormatting>
  <conditionalFormatting sqref="L31:M31">
    <cfRule type="cellIs" dxfId="6" priority="45" operator="equal">
      <formula>"Compensation Agreed"</formula>
    </cfRule>
  </conditionalFormatting>
  <conditionalFormatting sqref="L31:M31">
    <cfRule type="cellIs" dxfId="1" priority="46" operator="equal">
      <formula>"Unacceptable Loss"</formula>
    </cfRule>
  </conditionalFormatting>
  <conditionalFormatting sqref="L31:M31">
    <cfRule type="cellIs" dxfId="1" priority="47" operator="equal">
      <formula>"Unacceptable Loss"</formula>
    </cfRule>
  </conditionalFormatting>
  <conditionalFormatting sqref="L31:M31">
    <cfRule type="cellIs" dxfId="1" priority="48" operator="equal">
      <formula>"Unacceptable Loss"</formula>
    </cfRule>
  </conditionalFormatting>
  <conditionalFormatting sqref="L31:M31">
    <cfRule type="cellIs" dxfId="6" priority="49" operator="equal">
      <formula>"Compensation Agreed"</formula>
    </cfRule>
  </conditionalFormatting>
  <conditionalFormatting sqref="L31:M31">
    <cfRule type="cellIs" dxfId="1" priority="50" operator="equal">
      <formula>"Unacceptable Loss"</formula>
    </cfRule>
  </conditionalFormatting>
  <conditionalFormatting sqref="L31:M31">
    <cfRule type="cellIs" dxfId="1" priority="51" operator="equal">
      <formula>"Unacceptable Loss"</formula>
    </cfRule>
  </conditionalFormatting>
  <conditionalFormatting sqref="L31:M31">
    <cfRule type="cellIs" dxfId="9" priority="52" operator="equal">
      <formula>"Alternative Compensation"</formula>
    </cfRule>
  </conditionalFormatting>
  <conditionalFormatting sqref="J2 O6:P6">
    <cfRule type="containsText" dxfId="11" priority="53" operator="containsText" text="Errors Present On Sheet">
      <formula>NOT(ISERROR(SEARCH(("Errors Present On Sheet"),(J2))))</formula>
    </cfRule>
  </conditionalFormatting>
  <conditionalFormatting sqref="X40:X60">
    <cfRule type="cellIs" dxfId="12" priority="54" operator="equal">
      <formula>"Not Possible"</formula>
    </cfRule>
  </conditionalFormatting>
  <conditionalFormatting sqref="I89">
    <cfRule type="expression" dxfId="1" priority="55">
      <formula>"p18=""Avoid"""</formula>
    </cfRule>
  </conditionalFormatting>
  <conditionalFormatting sqref="I89">
    <cfRule type="cellIs" dxfId="1" priority="56" operator="equal">
      <formula>"Any loss Unacceptable"</formula>
    </cfRule>
  </conditionalFormatting>
  <conditionalFormatting sqref="I89">
    <cfRule type="cellIs" dxfId="1" priority="57" operator="equal">
      <formula>"Any loss Unacceptable"</formula>
    </cfRule>
  </conditionalFormatting>
  <conditionalFormatting sqref="L89">
    <cfRule type="expression" dxfId="1" priority="58">
      <formula>"p18=""Avoid"""</formula>
    </cfRule>
  </conditionalFormatting>
  <conditionalFormatting sqref="L89">
    <cfRule type="cellIs" dxfId="1" priority="59" operator="equal">
      <formula>"Any loss Unacceptable"</formula>
    </cfRule>
  </conditionalFormatting>
  <conditionalFormatting sqref="L89">
    <cfRule type="cellIs" dxfId="1" priority="60" operator="equal">
      <formula>"Any loss Unacceptable"</formula>
    </cfRule>
  </conditionalFormatting>
  <conditionalFormatting sqref="AJ68:AJ88">
    <cfRule type="cellIs" dxfId="12" priority="61" operator="equal">
      <formula>"Not Possible"</formula>
    </cfRule>
  </conditionalFormatting>
  <conditionalFormatting sqref="F40">
    <cfRule type="containsBlanks" dxfId="13" priority="62" stopIfTrue="1">
      <formula>LEN(TRIM(F40))=0</formula>
    </cfRule>
  </conditionalFormatting>
  <conditionalFormatting sqref="F40">
    <cfRule type="expression" dxfId="9" priority="63">
      <formula>ISNUMBER(SEARCH(F40,E40,1))</formula>
    </cfRule>
  </conditionalFormatting>
  <conditionalFormatting sqref="L68:M88">
    <cfRule type="cellIs" dxfId="1" priority="64" operator="equal">
      <formula>"Unacceptable Loss"</formula>
    </cfRule>
  </conditionalFormatting>
  <conditionalFormatting sqref="L68:M88">
    <cfRule type="cellIs" dxfId="6" priority="65" operator="equal">
      <formula>"Compensation Agreed"</formula>
    </cfRule>
  </conditionalFormatting>
  <conditionalFormatting sqref="L68:M88">
    <cfRule type="cellIs" dxfId="1" priority="66" operator="equal">
      <formula>"Unacceptable Loss"</formula>
    </cfRule>
  </conditionalFormatting>
  <conditionalFormatting sqref="L68:M88">
    <cfRule type="cellIs" dxfId="1" priority="67" operator="equal">
      <formula>"Unacceptable Loss"</formula>
    </cfRule>
  </conditionalFormatting>
  <conditionalFormatting sqref="L68:M88">
    <cfRule type="cellIs" dxfId="1" priority="68" operator="equal">
      <formula>"Unacceptable Loss"</formula>
    </cfRule>
  </conditionalFormatting>
  <conditionalFormatting sqref="L68:M88">
    <cfRule type="cellIs" dxfId="6" priority="69" operator="equal">
      <formula>"Compensation Agreed"</formula>
    </cfRule>
  </conditionalFormatting>
  <conditionalFormatting sqref="L68:M88">
    <cfRule type="cellIs" dxfId="1" priority="70" operator="equal">
      <formula>"Unacceptable Loss"</formula>
    </cfRule>
  </conditionalFormatting>
  <conditionalFormatting sqref="L68:M88">
    <cfRule type="cellIs" dxfId="1" priority="71" operator="equal">
      <formula>"Unacceptable Loss"</formula>
    </cfRule>
  </conditionalFormatting>
  <conditionalFormatting sqref="L68:M88">
    <cfRule type="cellIs" dxfId="9" priority="72" operator="equal">
      <formula>"Alternative Compensation"</formula>
    </cfRule>
  </conditionalFormatting>
  <conditionalFormatting sqref="K11:K30">
    <cfRule type="expression" dxfId="14" priority="73">
      <formula>$AI11="Enhancement not possible"</formula>
    </cfRule>
  </conditionalFormatting>
  <conditionalFormatting sqref="I33:N35">
    <cfRule type="containsText" dxfId="1" priority="74" operator="containsText" text="error">
      <formula>NOT(ISERROR(SEARCH(("error"),(I33))))</formula>
    </cfRule>
  </conditionalFormatting>
  <conditionalFormatting sqref="I33:N35">
    <cfRule type="containsText" dxfId="9" priority="75" operator="containsText" text="acceptable">
      <formula>NOT(ISERROR(SEARCH(("acceptable"),(I33))))</formula>
    </cfRule>
  </conditionalFormatting>
  <conditionalFormatting sqref="I62:N62">
    <cfRule type="containsText" dxfId="1" priority="76" operator="containsText" text="error">
      <formula>NOT(ISERROR(SEARCH(("error"),(I62))))</formula>
    </cfRule>
  </conditionalFormatting>
  <conditionalFormatting sqref="I62:N62">
    <cfRule type="containsText" dxfId="9" priority="77" operator="containsText" text="acceptable">
      <formula>NOT(ISERROR(SEARCH(("acceptable"),(I62))))</formula>
    </cfRule>
  </conditionalFormatting>
  <conditionalFormatting sqref="J2">
    <cfRule type="containsText" dxfId="1" priority="78" operator="containsText" text="Technical">
      <formula>NOT(ISERROR(SEARCH(("Technical"),(J2))))</formula>
    </cfRule>
  </conditionalFormatting>
  <conditionalFormatting sqref="M11:M30">
    <cfRule type="containsText" dxfId="1" priority="79" operator="containsText" text="error">
      <formula>NOT(ISERROR(SEARCH(("error"),(M11))))</formula>
    </cfRule>
  </conditionalFormatting>
  <conditionalFormatting sqref="F41:F43">
    <cfRule type="containsBlanks" dxfId="13" priority="80" stopIfTrue="1">
      <formula>LEN(TRIM(F41))=0</formula>
    </cfRule>
  </conditionalFormatting>
  <conditionalFormatting sqref="F41:F43">
    <cfRule type="expression" dxfId="9" priority="81">
      <formula>ISNUMBER(SEARCH(F41,E41,1))</formula>
    </cfRule>
  </conditionalFormatting>
  <conditionalFormatting sqref="F44:F59">
    <cfRule type="containsBlanks" dxfId="13" priority="82" stopIfTrue="1">
      <formula>LEN(TRIM(F44))=0</formula>
    </cfRule>
  </conditionalFormatting>
  <conditionalFormatting sqref="F44:F59">
    <cfRule type="expression" dxfId="9" priority="83">
      <formula>ISNUMBER(SEARCH(F44,E44,1))</formula>
    </cfRule>
  </conditionalFormatting>
  <conditionalFormatting sqref="H88">
    <cfRule type="expression" dxfId="15" priority="84">
      <formula>$D88=""</formula>
    </cfRule>
  </conditionalFormatting>
  <conditionalFormatting sqref="E68:E88">
    <cfRule type="cellIs" dxfId="1" priority="85" operator="equal">
      <formula>"Enhancement not possible"</formula>
    </cfRule>
  </conditionalFormatting>
  <conditionalFormatting sqref="F68:G87">
    <cfRule type="containsText" dxfId="1" priority="86" operator="containsText" text="not possible">
      <formula>NOT(ISERROR(SEARCH(("not possible"),(F68))))</formula>
    </cfRule>
  </conditionalFormatting>
  <conditionalFormatting sqref="F68:G87">
    <cfRule type="expression" dxfId="16" priority="87">
      <formula>$D68=""</formula>
    </cfRule>
  </conditionalFormatting>
  <conditionalFormatting sqref="N11:N30">
    <cfRule type="containsText" dxfId="1" priority="88" operator="containsText" text="error">
      <formula>NOT(ISERROR(SEARCH(("error"),(N11))))</formula>
    </cfRule>
  </conditionalFormatting>
  <conditionalFormatting sqref="L11:L30">
    <cfRule type="containsText" dxfId="1" priority="89" operator="containsText" text="value">
      <formula>NOT(ISERROR(SEARCH(("value"),(L11))))</formula>
    </cfRule>
  </conditionalFormatting>
  <conditionalFormatting sqref="L11:L30">
    <cfRule type="containsText" dxfId="1" priority="90" operator="containsText" text="▲">
      <formula>NOT(ISERROR(SEARCH(("▲"),(L11))))</formula>
    </cfRule>
  </conditionalFormatting>
  <conditionalFormatting sqref="L40:N59">
    <cfRule type="containsText" dxfId="1" priority="91" operator="containsText" text="▲">
      <formula>NOT(ISERROR(SEARCH(("▲"),(L40))))</formula>
    </cfRule>
  </conditionalFormatting>
  <conditionalFormatting sqref="L40:N59">
    <cfRule type="containsText" dxfId="1" priority="92" operator="containsText" text="value">
      <formula>NOT(ISERROR(SEARCH(("value"),(L40))))</formula>
    </cfRule>
  </conditionalFormatting>
  <conditionalFormatting sqref="L68:L88">
    <cfRule type="containsText" dxfId="1" priority="93" operator="containsText" text="▲">
      <formula>NOT(ISERROR(SEARCH(("▲"),(L68))))</formula>
    </cfRule>
  </conditionalFormatting>
  <conditionalFormatting sqref="E100:G100">
    <cfRule type="containsText" dxfId="17" priority="94" operator="containsText" text="Error">
      <formula>NOT(ISERROR(SEARCH(("Error"),(E100))))</formula>
    </cfRule>
  </conditionalFormatting>
  <conditionalFormatting sqref="L95:N97">
    <cfRule type="containsText" dxfId="1" priority="95" operator="containsText" text="Error">
      <formula>NOT(ISERROR(SEARCH(("Error"),(L95))))</formula>
    </cfRule>
  </conditionalFormatting>
  <conditionalFormatting sqref="I134:I135">
    <cfRule type="containsText" dxfId="10" priority="96" operator="containsText" text="Yes">
      <formula>NOT(ISERROR(SEARCH(("Yes"),(I134))))</formula>
    </cfRule>
  </conditionalFormatting>
  <conditionalFormatting sqref="I134:I135">
    <cfRule type="containsText" dxfId="1" priority="97" operator="containsText" text="No">
      <formula>NOT(ISERROR(SEARCH(("No"),(I134))))</formula>
    </cfRule>
  </conditionalFormatting>
  <conditionalFormatting sqref="P1:P5">
    <cfRule type="containsText" dxfId="1" priority="98" operator="containsText" text="Error ▲">
      <formula>NOT(ISERROR(SEARCH(("Error ▲"),(P1))))</formula>
    </cfRule>
  </conditionalFormatting>
  <conditionalFormatting sqref="M68:N87">
    <cfRule type="containsText" dxfId="1" priority="99" operator="containsText" text="Error ▲">
      <formula>NOT(ISERROR(SEARCH(("Error ▲"),(M68))))</formula>
    </cfRule>
  </conditionalFormatting>
  <conditionalFormatting sqref="J68:K87">
    <cfRule type="containsText" dxfId="1" priority="100" operator="containsText" text="Error ▲">
      <formula>NOT(ISERROR(SEARCH(("Error ▲"),(J68))))</formula>
    </cfRule>
  </conditionalFormatting>
  <conditionalFormatting sqref="E95:F97">
    <cfRule type="cellIs" dxfId="1" priority="101" operator="greaterThan">
      <formula>$D95</formula>
    </cfRule>
  </conditionalFormatting>
  <conditionalFormatting sqref="L98:N98">
    <cfRule type="containsText" dxfId="1" priority="102" operator="containsText" text="Error">
      <formula>NOT(ISERROR(SEARCH(("Error"),(L98))))</formula>
    </cfRule>
  </conditionalFormatting>
  <conditionalFormatting sqref="E98:F98">
    <cfRule type="cellIs" dxfId="1" priority="103" operator="greaterThan">
      <formula>$D98</formula>
    </cfRule>
  </conditionalFormatting>
  <dataValidations>
    <dataValidation type="list" allowBlank="1" showErrorMessage="1" sqref="F11:F31 H40:H60 H68:H88">
      <formula1>'11. Lists'!$F$36:$F$37</formula1>
    </dataValidation>
    <dataValidation type="list" allowBlank="1" showErrorMessage="1" sqref="BX63">
      <formula1>INDIRECT("BV68:BV"&amp;BV63+67)</formula1>
    </dataValidation>
    <dataValidation type="list" allowBlank="1" showErrorMessage="1" sqref="F68:F87">
      <formula1>INDIRECT(BV68)</formula1>
    </dataValidation>
    <dataValidation type="list" allowBlank="1" showErrorMessage="1" sqref="C11:C30 C40:C59">
      <formula1>'11. Lists'!$A$2:$A$11</formula1>
    </dataValidation>
    <dataValidation type="list" allowBlank="1" showErrorMessage="1" sqref="F40:F59">
      <formula1>'11. Lists'!$F$47:$F$51</formula1>
    </dataValidation>
    <dataValidation type="list" allowBlank="1" showErrorMessage="1" sqref="D11:D30 D40:D59">
      <formula1>INDIRECT(SUBSTITUTE(C11," ",""))</formula1>
    </dataValidation>
  </dataValidation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63300"/>
    <pageSetUpPr fitToPage="1"/>
  </sheetPr>
  <sheetViews>
    <sheetView workbookViewId="0"/>
  </sheetViews>
  <sheetFormatPr customHeight="1" defaultColWidth="14.43" defaultRowHeight="15.0"/>
  <cols>
    <col customWidth="1" min="1" max="1" width="4.57"/>
    <col customWidth="1" min="2" max="2" width="14.71"/>
    <col customWidth="1" min="3" max="3" width="24.43"/>
    <col customWidth="1" min="4" max="4" width="40.29"/>
    <col customWidth="1" min="5" max="5" width="27.0"/>
    <col customWidth="1" min="6" max="6" width="18.57"/>
    <col customWidth="1" min="7" max="7" width="39.71"/>
    <col customWidth="1" min="8" max="8" width="49.29"/>
    <col customWidth="1" min="9" max="9" width="14.57"/>
    <col customWidth="1" min="10" max="10" width="12.71"/>
    <col customWidth="1" min="11" max="11" width="11.43"/>
    <col customWidth="1" min="12" max="12" width="13.0"/>
    <col customWidth="1" min="13" max="14" width="11.43"/>
    <col customWidth="1" min="15" max="16" width="27.0"/>
    <col customWidth="1" min="17" max="18" width="11.43"/>
    <col customWidth="1" min="19" max="19" width="2.57"/>
    <col customWidth="1" min="20" max="20" width="16.71"/>
    <col customWidth="1" min="21" max="21" width="14.71"/>
    <col customWidth="1" min="22" max="22" width="20.71"/>
    <col customWidth="1" min="23" max="23" width="23.71"/>
    <col customWidth="1" min="24" max="24" width="16.71"/>
    <col customWidth="1" hidden="1" min="25" max="25" width="14.0"/>
    <col customWidth="1" hidden="1" min="26" max="26" width="22.0"/>
    <col customWidth="1" hidden="1" min="27" max="27" width="14.0"/>
    <col customWidth="1" min="28" max="28" width="33.71"/>
    <col customWidth="1" min="29" max="30" width="32.71"/>
    <col customWidth="1" min="31" max="31" width="18.71"/>
    <col customWidth="1" min="32" max="32" width="23.71"/>
    <col customWidth="1" min="33" max="33" width="16.71"/>
    <col customWidth="1" min="34" max="34" width="65.71"/>
    <col customWidth="1" min="35" max="35" width="207.0"/>
    <col customWidth="1" min="36" max="36" width="23.57"/>
    <col customWidth="1" hidden="1" min="37" max="37" width="23.57"/>
    <col customWidth="1" hidden="1" min="38" max="38" width="16.71"/>
    <col customWidth="1" hidden="1" min="39" max="39" width="13.29"/>
    <col customWidth="1" min="40" max="40" width="12.29"/>
    <col customWidth="1" min="41" max="41" width="34.29"/>
    <col customWidth="1" min="42" max="42" width="19.71"/>
    <col customWidth="1" min="43" max="43" width="16.29"/>
    <col customWidth="1" min="44" max="47" width="27.29"/>
    <col customWidth="1" min="48" max="48" width="21.29"/>
    <col customWidth="1" min="49" max="49" width="23.29"/>
    <col customWidth="1" min="50" max="50" width="68.29"/>
    <col customWidth="1" min="51" max="51" width="23.29"/>
    <col customWidth="1" min="52" max="52" width="24.43"/>
    <col customWidth="1" min="53" max="53" width="18.71"/>
    <col customWidth="1" min="54" max="73" width="31.71"/>
    <col customWidth="1" min="74" max="74" width="15.57"/>
    <col customWidth="1" min="75" max="76" width="8.71"/>
  </cols>
  <sheetData>
    <row r="1" ht="15.75" customHeight="1">
      <c r="A1" s="1"/>
      <c r="B1" s="1"/>
      <c r="C1" s="1"/>
      <c r="D1" s="1"/>
      <c r="E1" s="1"/>
      <c r="F1" s="1"/>
      <c r="G1" s="1"/>
      <c r="H1" s="1"/>
      <c r="I1" s="150"/>
      <c r="J1" s="150"/>
      <c r="K1" s="150"/>
      <c r="L1" s="150"/>
      <c r="M1" s="150"/>
      <c r="N1" s="150"/>
      <c r="O1" s="151" t="s">
        <v>76</v>
      </c>
      <c r="P1" s="152">
        <f>IFERROR(SUM(AE11:AE30), "Error ▲")</f>
        <v>0.151</v>
      </c>
      <c r="Q1" s="1"/>
      <c r="R1" s="153" t="s">
        <v>77</v>
      </c>
      <c r="S1" s="1"/>
      <c r="T1" s="154"/>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ht="19.5" customHeight="1">
      <c r="A2" s="1"/>
      <c r="B2" s="155" t="s">
        <v>78</v>
      </c>
      <c r="C2" s="156" t="str">
        <f>IF('2. Site Details'!D4="","Enter site name on 2. Site Details",'2. Site Details'!D4)</f>
        <v>279 Long Lane, Uxbridge</v>
      </c>
      <c r="D2" s="60"/>
      <c r="E2" s="1"/>
      <c r="F2" s="157" t="s">
        <v>245</v>
      </c>
      <c r="G2" s="26"/>
      <c r="H2" s="27"/>
      <c r="I2" s="150"/>
      <c r="J2" s="159" t="str">
        <f t="array" ref="J2">IFERROR(IF(OR((ISNUMBER(SEARCH("▲",A7:Q101)))),"Input Errors Present On Sheet - Red Cells Or ▲ Highlight Errors","All Key Rules Satisfied ✓ "),"Technical Errors On Sheet ▲")</f>
        <v>Input Errors Present On Sheet - Red Cells Or ▲ Highlight Errors</v>
      </c>
      <c r="K2" s="3"/>
      <c r="L2" s="3"/>
      <c r="M2" s="4"/>
      <c r="N2" s="158"/>
      <c r="O2" s="160" t="s">
        <v>80</v>
      </c>
      <c r="P2" s="152">
        <f>IFERROR(N31, "Error ▲")</f>
        <v>0.009</v>
      </c>
      <c r="Q2" s="1"/>
      <c r="R2" s="161"/>
      <c r="S2" s="1"/>
      <c r="T2" s="154"/>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ht="19.5" customHeight="1">
      <c r="A3" s="1"/>
      <c r="B3" s="162" t="s">
        <v>16</v>
      </c>
      <c r="C3" s="163" t="s">
        <v>246</v>
      </c>
      <c r="D3" s="54"/>
      <c r="E3" s="1"/>
      <c r="F3" s="164"/>
      <c r="H3" s="165"/>
      <c r="I3" s="150"/>
      <c r="J3" s="5"/>
      <c r="M3" s="6"/>
      <c r="N3" s="158"/>
      <c r="O3" s="160" t="s">
        <v>82</v>
      </c>
      <c r="P3" s="152">
        <f>IFERROR(L59, "Error ▲")</f>
        <v>0</v>
      </c>
      <c r="Q3" s="1"/>
      <c r="R3" s="161"/>
      <c r="S3" s="1"/>
      <c r="T3" s="154"/>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row>
    <row r="4" ht="19.5" customHeight="1">
      <c r="A4" s="1"/>
      <c r="B4" s="166"/>
      <c r="C4" s="166"/>
      <c r="D4" s="166"/>
      <c r="E4" s="1"/>
      <c r="F4" s="164"/>
      <c r="H4" s="165"/>
      <c r="I4" s="150"/>
      <c r="J4" s="5"/>
      <c r="M4" s="6"/>
      <c r="N4" s="158"/>
      <c r="O4" s="160" t="s">
        <v>83</v>
      </c>
      <c r="P4" s="152">
        <f>IFERROR(L86, "Error ▲")</f>
        <v>0</v>
      </c>
      <c r="Q4" s="1"/>
      <c r="R4" s="161"/>
      <c r="S4" s="1"/>
      <c r="T4" s="154"/>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ht="19.5" customHeight="1">
      <c r="A5" s="167"/>
      <c r="B5" s="1"/>
      <c r="C5" s="1"/>
      <c r="D5" s="1"/>
      <c r="E5" s="1"/>
      <c r="F5" s="164"/>
      <c r="H5" s="165"/>
      <c r="I5" s="150"/>
      <c r="J5" s="7"/>
      <c r="K5" s="8"/>
      <c r="L5" s="8"/>
      <c r="M5" s="9"/>
      <c r="N5" s="158"/>
      <c r="O5" s="168" t="s">
        <v>84</v>
      </c>
      <c r="P5" s="169">
        <f>IFERROR(P1+L59+L86-L31, "Error ▲")</f>
        <v>-0.009</v>
      </c>
      <c r="Q5" s="1"/>
      <c r="R5" s="161"/>
      <c r="S5" s="1"/>
      <c r="T5" s="154"/>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row>
    <row r="6" ht="12.75" customHeight="1">
      <c r="A6" s="167"/>
      <c r="B6" s="1"/>
      <c r="C6" s="1"/>
      <c r="D6" s="1"/>
      <c r="E6" s="1"/>
      <c r="F6" s="170"/>
      <c r="G6" s="171"/>
      <c r="H6" s="172"/>
      <c r="I6" s="150"/>
      <c r="J6" s="150"/>
      <c r="K6" s="150"/>
      <c r="L6" s="150"/>
      <c r="M6" s="150"/>
      <c r="N6" s="150"/>
      <c r="O6" s="173"/>
      <c r="P6" s="173"/>
      <c r="Q6" s="1"/>
      <c r="R6" s="161"/>
      <c r="S6" s="1"/>
      <c r="T6" s="154"/>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row>
    <row r="7" ht="18.75" customHeight="1">
      <c r="A7" s="1"/>
      <c r="B7" s="128" t="s">
        <v>85</v>
      </c>
      <c r="C7" s="1"/>
      <c r="D7" s="174"/>
      <c r="E7" s="1"/>
      <c r="F7" s="1"/>
      <c r="G7" s="1"/>
      <c r="H7" s="154"/>
      <c r="I7" s="1"/>
      <c r="J7" s="1"/>
      <c r="K7" s="154"/>
      <c r="L7" s="175"/>
      <c r="M7" s="175"/>
      <c r="N7" s="175"/>
      <c r="O7" s="1"/>
      <c r="P7" s="1"/>
      <c r="Q7" s="1"/>
      <c r="R7" s="161"/>
      <c r="S7" s="1"/>
      <c r="T7" s="154"/>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ht="10.5" customHeight="1">
      <c r="A8" s="176"/>
      <c r="B8" s="1"/>
      <c r="C8" s="1"/>
      <c r="D8" s="1"/>
      <c r="E8" s="1"/>
      <c r="F8" s="1"/>
      <c r="G8" s="1"/>
      <c r="H8" s="1"/>
      <c r="I8" s="1"/>
      <c r="J8" s="1"/>
      <c r="K8" s="1"/>
      <c r="L8" s="1"/>
      <c r="M8" s="1"/>
      <c r="N8" s="1"/>
      <c r="O8" s="1"/>
      <c r="P8" s="1"/>
      <c r="Q8" s="1"/>
      <c r="R8" s="16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ht="29.25" customHeight="1">
      <c r="A9" s="176"/>
      <c r="B9" s="177" t="s">
        <v>71</v>
      </c>
      <c r="C9" s="178" t="s">
        <v>86</v>
      </c>
      <c r="D9" s="179"/>
      <c r="E9" s="60"/>
      <c r="F9" s="180" t="s">
        <v>87</v>
      </c>
      <c r="G9" s="26"/>
      <c r="H9" s="27"/>
      <c r="I9" s="178" t="s">
        <v>247</v>
      </c>
      <c r="J9" s="179"/>
      <c r="K9" s="60"/>
      <c r="L9" s="181" t="s">
        <v>89</v>
      </c>
      <c r="M9" s="179"/>
      <c r="N9" s="60"/>
      <c r="O9" s="181" t="s">
        <v>90</v>
      </c>
      <c r="P9" s="60"/>
      <c r="Q9" s="1"/>
      <c r="R9" s="161"/>
      <c r="S9" s="1"/>
      <c r="T9" s="182" t="s">
        <v>91</v>
      </c>
      <c r="U9" s="179"/>
      <c r="V9" s="275"/>
      <c r="W9" s="182" t="s">
        <v>92</v>
      </c>
      <c r="X9" s="60"/>
      <c r="Y9" s="184"/>
      <c r="Z9" s="14"/>
      <c r="AA9" s="15"/>
      <c r="AB9" s="183" t="s">
        <v>93</v>
      </c>
      <c r="AC9" s="179"/>
      <c r="AD9" s="60"/>
      <c r="AE9" s="182" t="s">
        <v>94</v>
      </c>
      <c r="AF9" s="179"/>
      <c r="AG9" s="60"/>
      <c r="AH9" s="325" t="s">
        <v>95</v>
      </c>
      <c r="AI9" s="485" t="s">
        <v>96</v>
      </c>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ht="32.25" customHeight="1">
      <c r="A10" s="176"/>
      <c r="B10" s="187"/>
      <c r="C10" s="168" t="s">
        <v>97</v>
      </c>
      <c r="D10" s="280" t="s">
        <v>98</v>
      </c>
      <c r="E10" s="54"/>
      <c r="F10" s="170"/>
      <c r="G10" s="171"/>
      <c r="H10" s="172"/>
      <c r="I10" s="168" t="s">
        <v>248</v>
      </c>
      <c r="J10" s="189" t="s">
        <v>249</v>
      </c>
      <c r="K10" s="190" t="s">
        <v>250</v>
      </c>
      <c r="L10" s="486" t="s">
        <v>251</v>
      </c>
      <c r="M10" s="487" t="s">
        <v>252</v>
      </c>
      <c r="N10" s="488" t="s">
        <v>104</v>
      </c>
      <c r="O10" s="168" t="s">
        <v>105</v>
      </c>
      <c r="P10" s="190" t="s">
        <v>106</v>
      </c>
      <c r="Q10" s="1"/>
      <c r="R10" s="161"/>
      <c r="S10" s="1"/>
      <c r="T10" s="191" t="s">
        <v>107</v>
      </c>
      <c r="U10" s="47"/>
      <c r="V10" s="489" t="s">
        <v>108</v>
      </c>
      <c r="W10" s="195" t="s">
        <v>109</v>
      </c>
      <c r="X10" s="192" t="s">
        <v>108</v>
      </c>
      <c r="Y10" s="194"/>
      <c r="Z10" s="194"/>
      <c r="AA10" s="194"/>
      <c r="AB10" s="193" t="s">
        <v>93</v>
      </c>
      <c r="AC10" s="196" t="s">
        <v>93</v>
      </c>
      <c r="AD10" s="192" t="s">
        <v>110</v>
      </c>
      <c r="AE10" s="195" t="s">
        <v>111</v>
      </c>
      <c r="AF10" s="196" t="s">
        <v>112</v>
      </c>
      <c r="AG10" s="192" t="s">
        <v>113</v>
      </c>
      <c r="AH10" s="490"/>
      <c r="AI10" s="49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ht="14.25" customHeight="1">
      <c r="A11" s="176"/>
      <c r="B11" s="492">
        <v>1.0</v>
      </c>
      <c r="C11" s="493" t="s">
        <v>253</v>
      </c>
      <c r="D11" s="494" t="s">
        <v>254</v>
      </c>
      <c r="E11" s="60"/>
      <c r="F11" s="495" t="s">
        <v>116</v>
      </c>
      <c r="G11" s="179"/>
      <c r="H11" s="60"/>
      <c r="I11" s="496">
        <v>100.0</v>
      </c>
      <c r="J11" s="497">
        <v>91.0</v>
      </c>
      <c r="K11" s="498"/>
      <c r="L11" s="499">
        <f t="shared" ref="L11:L30" si="1">IF(D11="","",IFERROR(IF(I11="","",((I11/1000)*V11*X11)*AD11),"This intervention is not permitted within the SSM ▲"))</f>
        <v>0.1</v>
      </c>
      <c r="M11" s="500">
        <f t="shared" ref="M11:M30" si="2">IF(I11="","",IF(J11+K11&gt;I11,"Length Error ▲",I11-J11-K11))</f>
        <v>9</v>
      </c>
      <c r="N11" s="501">
        <f t="shared" ref="N11:N30" si="3">IFERROR(IF(I11="","",IF(M11="Length Error ▲","Length Error ▲",((M11/1000)*V11*X11)*AD11)),"This intervention is not permitted within the SSM ▲")</f>
        <v>0.009</v>
      </c>
      <c r="O11" s="502"/>
      <c r="P11" s="503"/>
      <c r="Q11" s="1"/>
      <c r="R11" s="161"/>
      <c r="S11" s="1"/>
      <c r="T11" s="210" t="str">
        <f>IF(D11="","",VLOOKUP(D11,'9. All Habitats + Multipliers'!$C$4:$K$102,5,FALSE))</f>
        <v>V.Low</v>
      </c>
      <c r="U11" s="47"/>
      <c r="V11" s="381">
        <f>IF(T11="","",VLOOKUP(T11,'11. Lists'!$S$47:$U$50,2,FALSE))</f>
        <v>1</v>
      </c>
      <c r="W11" s="214" t="str">
        <f>IF(D11="","",VLOOKUP(D11,'10. Condition and Temporal'!$B$6:$C$103,2,FALSE))</f>
        <v>Poor</v>
      </c>
      <c r="X11" s="211">
        <f>IF(W11="","",VLOOKUP(W11,'11. Lists'!$F$47:$G$51,2,FALSE))</f>
        <v>1</v>
      </c>
      <c r="Y11" s="213"/>
      <c r="Z11" s="213"/>
      <c r="AA11" s="213"/>
      <c r="AB11" s="212" t="str">
        <f t="shared" ref="AB11:AB30" si="4">IF(F11="","",F11)</f>
        <v>Area/compensation not in local strategy/ no local strategy</v>
      </c>
      <c r="AC11" s="215" t="str">
        <f>IF(AB11="","",VLOOKUP(AB11,'11. Lists'!$F$36:$H$38,2,FALSE))</f>
        <v>Low Strategic Significance</v>
      </c>
      <c r="AD11" s="211">
        <f>IF(AB11="","",VLOOKUP(AB11,'11. Lists'!$F$36:$H$38,3,FALSE))</f>
        <v>1</v>
      </c>
      <c r="AE11" s="216">
        <f t="shared" ref="AE11:AE30" si="5">IF(D11="","",((J11/1000)*V11*X11)*AD11)</f>
        <v>0.091</v>
      </c>
      <c r="AF11" s="217">
        <f t="shared" ref="AF11:AF30" si="6">IF(D11="","",((K11/1000)*V11*X11)*AD11)</f>
        <v>0</v>
      </c>
      <c r="AG11" s="218">
        <f t="shared" ref="AG11:AG30" si="7">IF(D11="","",M11)</f>
        <v>9</v>
      </c>
      <c r="AH11" s="214" t="str">
        <f>IF(T11="","",VLOOKUP(T11,'11. Lists'!$B$47:$D$49,3,FALSE))</f>
        <v>Compensation Not Required</v>
      </c>
      <c r="AI11" s="211" t="str">
        <f>IF(D11="","",VLOOKUP(D11,'10. Condition and Temporal'!$B$6:$L$103,4,FALSE))</f>
        <v>Enhancement not possible</v>
      </c>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ht="14.25" customHeight="1">
      <c r="A12" s="1"/>
      <c r="B12" s="221">
        <v>2.0</v>
      </c>
      <c r="C12" s="493" t="s">
        <v>253</v>
      </c>
      <c r="D12" s="222" t="s">
        <v>255</v>
      </c>
      <c r="E12" s="43"/>
      <c r="F12" s="504" t="s">
        <v>116</v>
      </c>
      <c r="G12" s="42"/>
      <c r="H12" s="43"/>
      <c r="I12" s="203">
        <v>15.0</v>
      </c>
      <c r="J12" s="223">
        <v>15.0</v>
      </c>
      <c r="K12" s="205"/>
      <c r="L12" s="505">
        <f t="shared" si="1"/>
        <v>0.06</v>
      </c>
      <c r="M12" s="224">
        <f t="shared" si="2"/>
        <v>0</v>
      </c>
      <c r="N12" s="506">
        <f t="shared" si="3"/>
        <v>0</v>
      </c>
      <c r="O12" s="226"/>
      <c r="P12" s="227"/>
      <c r="Q12" s="1"/>
      <c r="R12" s="161"/>
      <c r="S12" s="1"/>
      <c r="T12" s="210" t="str">
        <f>IF(D12="","",VLOOKUP(D12,'9. All Habitats + Multipliers'!$C$4:$K$102,5,FALSE))</f>
        <v>Low</v>
      </c>
      <c r="U12" s="47"/>
      <c r="V12" s="381">
        <f>IF(T12="","",VLOOKUP(T12,'11. Lists'!$S$47:$U$50,2,FALSE))</f>
        <v>2</v>
      </c>
      <c r="W12" s="214" t="str">
        <f>IF(D12="","",VLOOKUP(D12,'10. Condition and Temporal'!$B$6:$C$103,2,FALSE))</f>
        <v>Moderate</v>
      </c>
      <c r="X12" s="211">
        <f>IF(W12="","",VLOOKUP(W12,'11. Lists'!$F$47:$G$51,2,FALSE))</f>
        <v>2</v>
      </c>
      <c r="Y12" s="213"/>
      <c r="Z12" s="213"/>
      <c r="AA12" s="213"/>
      <c r="AB12" s="212" t="str">
        <f t="shared" si="4"/>
        <v>Area/compensation not in local strategy/ no local strategy</v>
      </c>
      <c r="AC12" s="215" t="str">
        <f>IF(AB12="","",VLOOKUP(AB12,'11. Lists'!$F$36:$H$38,2,FALSE))</f>
        <v>Low Strategic Significance</v>
      </c>
      <c r="AD12" s="211">
        <f>IF(AB12="","",VLOOKUP(AB12,'11. Lists'!$F$36:$H$38,3,FALSE))</f>
        <v>1</v>
      </c>
      <c r="AE12" s="216">
        <f t="shared" si="5"/>
        <v>0.06</v>
      </c>
      <c r="AF12" s="217">
        <f t="shared" si="6"/>
        <v>0</v>
      </c>
      <c r="AG12" s="218">
        <f t="shared" si="7"/>
        <v>0</v>
      </c>
      <c r="AH12" s="214" t="str">
        <f>IF(T12="","",VLOOKUP(T12,'11. Lists'!$B$47:$D$49,3,FALSE))</f>
        <v>Same distinctiveness or better habitat required</v>
      </c>
      <c r="AI12" s="211" t="str">
        <f>IF(D12="","",VLOOKUP(D12,'10. Condition and Temporal'!$B$6:$L$103,4,FALSE))</f>
        <v>Native hedgerow, Species-rich native hedgerow, Native hedgerow - associated with bank or ditch, Native hedgerow with trees</v>
      </c>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ht="14.25" customHeight="1">
      <c r="A13" s="1"/>
      <c r="B13" s="221">
        <v>3.0</v>
      </c>
      <c r="C13" s="493" t="s">
        <v>253</v>
      </c>
      <c r="D13" s="222"/>
      <c r="E13" s="43"/>
      <c r="F13" s="504"/>
      <c r="G13" s="42"/>
      <c r="H13" s="43"/>
      <c r="I13" s="203"/>
      <c r="J13" s="223"/>
      <c r="K13" s="205"/>
      <c r="L13" s="505" t="str">
        <f t="shared" si="1"/>
        <v/>
      </c>
      <c r="M13" s="224" t="str">
        <f t="shared" si="2"/>
        <v/>
      </c>
      <c r="N13" s="506" t="str">
        <f t="shared" si="3"/>
        <v/>
      </c>
      <c r="O13" s="507"/>
      <c r="P13" s="227"/>
      <c r="Q13" s="1"/>
      <c r="R13" s="161"/>
      <c r="S13" s="1"/>
      <c r="T13" s="210" t="str">
        <f>IF(D13="","",VLOOKUP(D13,'9. All Habitats + Multipliers'!$C$4:$K$102,5,FALSE))</f>
        <v/>
      </c>
      <c r="U13" s="47"/>
      <c r="V13" s="381" t="str">
        <f>IF(T13="","",VLOOKUP(T13,'11. Lists'!$S$47:$U$50,2,FALSE))</f>
        <v/>
      </c>
      <c r="W13" s="214" t="str">
        <f>IF(D13="","",VLOOKUP(D13,'10. Condition and Temporal'!$B$6:$C$103,2,FALSE))</f>
        <v/>
      </c>
      <c r="X13" s="211" t="str">
        <f>IF(W13="","",VLOOKUP(W13,'11. Lists'!$F$47:$G$51,2,FALSE))</f>
        <v/>
      </c>
      <c r="Y13" s="213"/>
      <c r="Z13" s="213"/>
      <c r="AA13" s="213"/>
      <c r="AB13" s="212" t="str">
        <f t="shared" si="4"/>
        <v/>
      </c>
      <c r="AC13" s="215" t="str">
        <f>IF(AB13="","",VLOOKUP(AB13,'11. Lists'!$F$36:$H$38,2,FALSE))</f>
        <v/>
      </c>
      <c r="AD13" s="211" t="str">
        <f>IF(AB13="","",VLOOKUP(AB13,'11. Lists'!$F$36:$H$38,3,FALSE))</f>
        <v/>
      </c>
      <c r="AE13" s="216" t="str">
        <f t="shared" si="5"/>
        <v/>
      </c>
      <c r="AF13" s="217" t="str">
        <f t="shared" si="6"/>
        <v/>
      </c>
      <c r="AG13" s="218" t="str">
        <f t="shared" si="7"/>
        <v/>
      </c>
      <c r="AH13" s="214" t="str">
        <f>IF(T13="","",VLOOKUP(T13,'11. Lists'!$B$47:$D$49,3,FALSE))</f>
        <v/>
      </c>
      <c r="AI13" s="211" t="str">
        <f>IF(D13="","",VLOOKUP(D13,'10. Condition and Temporal'!$B$6:$L$103,4,FALSE))</f>
        <v/>
      </c>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ht="14.25" customHeight="1">
      <c r="A14" s="1"/>
      <c r="B14" s="221">
        <v>4.0</v>
      </c>
      <c r="C14" s="493" t="s">
        <v>253</v>
      </c>
      <c r="D14" s="222"/>
      <c r="E14" s="43"/>
      <c r="F14" s="504"/>
      <c r="G14" s="42"/>
      <c r="H14" s="43"/>
      <c r="I14" s="203"/>
      <c r="J14" s="223"/>
      <c r="K14" s="205"/>
      <c r="L14" s="505" t="str">
        <f t="shared" si="1"/>
        <v/>
      </c>
      <c r="M14" s="224" t="str">
        <f t="shared" si="2"/>
        <v/>
      </c>
      <c r="N14" s="506" t="str">
        <f t="shared" si="3"/>
        <v/>
      </c>
      <c r="O14" s="226"/>
      <c r="P14" s="227"/>
      <c r="Q14" s="1"/>
      <c r="R14" s="161"/>
      <c r="S14" s="1"/>
      <c r="T14" s="210" t="str">
        <f>IF(D14="","",VLOOKUP(D14,'9. All Habitats + Multipliers'!$C$4:$K$102,5,FALSE))</f>
        <v/>
      </c>
      <c r="U14" s="47"/>
      <c r="V14" s="381" t="str">
        <f>IF(T14="","",VLOOKUP(T14,'11. Lists'!$S$47:$U$50,2,FALSE))</f>
        <v/>
      </c>
      <c r="W14" s="214" t="str">
        <f>IF(D14="","",VLOOKUP(D14,'10. Condition and Temporal'!$B$6:$C$103,2,FALSE))</f>
        <v/>
      </c>
      <c r="X14" s="211" t="str">
        <f>IF(W14="","",VLOOKUP(W14,'11. Lists'!$F$47:$G$51,2,FALSE))</f>
        <v/>
      </c>
      <c r="Y14" s="213"/>
      <c r="Z14" s="213"/>
      <c r="AA14" s="213"/>
      <c r="AB14" s="212" t="str">
        <f t="shared" si="4"/>
        <v/>
      </c>
      <c r="AC14" s="215" t="str">
        <f>IF(AB14="","",VLOOKUP(AB14,'11. Lists'!$F$36:$H$38,2,FALSE))</f>
        <v/>
      </c>
      <c r="AD14" s="211" t="str">
        <f>IF(AB14="","",VLOOKUP(AB14,'11. Lists'!$F$36:$H$38,3,FALSE))</f>
        <v/>
      </c>
      <c r="AE14" s="216" t="str">
        <f t="shared" si="5"/>
        <v/>
      </c>
      <c r="AF14" s="217" t="str">
        <f t="shared" si="6"/>
        <v/>
      </c>
      <c r="AG14" s="218" t="str">
        <f t="shared" si="7"/>
        <v/>
      </c>
      <c r="AH14" s="214" t="str">
        <f>IF(T14="","",VLOOKUP(T14,'11. Lists'!$B$47:$D$49,3,FALSE))</f>
        <v/>
      </c>
      <c r="AI14" s="211" t="str">
        <f>IF(D14="","",VLOOKUP(D14,'10. Condition and Temporal'!$B$6:$L$103,4,FALSE))</f>
        <v/>
      </c>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row>
    <row r="15" ht="14.25" customHeight="1">
      <c r="A15" s="1"/>
      <c r="B15" s="221">
        <v>5.0</v>
      </c>
      <c r="C15" s="493" t="s">
        <v>253</v>
      </c>
      <c r="D15" s="222"/>
      <c r="E15" s="43"/>
      <c r="F15" s="202"/>
      <c r="G15" s="31"/>
      <c r="H15" s="32"/>
      <c r="I15" s="203"/>
      <c r="J15" s="223"/>
      <c r="K15" s="205"/>
      <c r="L15" s="505" t="str">
        <f t="shared" si="1"/>
        <v/>
      </c>
      <c r="M15" s="224" t="str">
        <f t="shared" si="2"/>
        <v/>
      </c>
      <c r="N15" s="506" t="str">
        <f t="shared" si="3"/>
        <v/>
      </c>
      <c r="O15" s="226"/>
      <c r="P15" s="227"/>
      <c r="Q15" s="1"/>
      <c r="R15" s="161"/>
      <c r="S15" s="1"/>
      <c r="T15" s="210" t="str">
        <f>IF(D15="","",VLOOKUP(D15,'9. All Habitats + Multipliers'!$C$4:$K$102,5,FALSE))</f>
        <v/>
      </c>
      <c r="U15" s="47"/>
      <c r="V15" s="381" t="str">
        <f>IF(T15="","",VLOOKUP(T15,'11. Lists'!$S$47:$U$50,2,FALSE))</f>
        <v/>
      </c>
      <c r="W15" s="214" t="str">
        <f>IF(D15="","",VLOOKUP(D15,'10. Condition and Temporal'!$B$6:$C$103,2,FALSE))</f>
        <v/>
      </c>
      <c r="X15" s="211" t="str">
        <f>IF(W15="","",VLOOKUP(W15,'11. Lists'!$F$47:$G$51,2,FALSE))</f>
        <v/>
      </c>
      <c r="Y15" s="213"/>
      <c r="Z15" s="213"/>
      <c r="AA15" s="213"/>
      <c r="AB15" s="212" t="str">
        <f t="shared" si="4"/>
        <v/>
      </c>
      <c r="AC15" s="215" t="str">
        <f>IF(AB15="","",VLOOKUP(AB15,'11. Lists'!$F$36:$H$38,2,FALSE))</f>
        <v/>
      </c>
      <c r="AD15" s="211" t="str">
        <f>IF(AB15="","",VLOOKUP(AB15,'11. Lists'!$F$36:$H$38,3,FALSE))</f>
        <v/>
      </c>
      <c r="AE15" s="216" t="str">
        <f t="shared" si="5"/>
        <v/>
      </c>
      <c r="AF15" s="217" t="str">
        <f t="shared" si="6"/>
        <v/>
      </c>
      <c r="AG15" s="218" t="str">
        <f t="shared" si="7"/>
        <v/>
      </c>
      <c r="AH15" s="214" t="str">
        <f>IF(T15="","",VLOOKUP(T15,'11. Lists'!$B$47:$D$49,3,FALSE))</f>
        <v/>
      </c>
      <c r="AI15" s="211" t="str">
        <f>IF(D15="","",VLOOKUP(D15,'10. Condition and Temporal'!$B$6:$L$103,4,FALSE))</f>
        <v/>
      </c>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row>
    <row r="16" ht="14.25" customHeight="1">
      <c r="A16" s="1"/>
      <c r="B16" s="221">
        <v>6.0</v>
      </c>
      <c r="C16" s="493" t="s">
        <v>253</v>
      </c>
      <c r="D16" s="222"/>
      <c r="E16" s="43"/>
      <c r="F16" s="202"/>
      <c r="G16" s="31"/>
      <c r="H16" s="32"/>
      <c r="I16" s="203"/>
      <c r="J16" s="223"/>
      <c r="K16" s="205"/>
      <c r="L16" s="505" t="str">
        <f t="shared" si="1"/>
        <v/>
      </c>
      <c r="M16" s="224" t="str">
        <f t="shared" si="2"/>
        <v/>
      </c>
      <c r="N16" s="506" t="str">
        <f t="shared" si="3"/>
        <v/>
      </c>
      <c r="O16" s="226"/>
      <c r="P16" s="227"/>
      <c r="Q16" s="1"/>
      <c r="R16" s="161"/>
      <c r="S16" s="1"/>
      <c r="T16" s="210" t="str">
        <f>IF(D16="","",VLOOKUP(D16,'9. All Habitats + Multipliers'!$C$4:$K$102,5,FALSE))</f>
        <v/>
      </c>
      <c r="U16" s="47"/>
      <c r="V16" s="381" t="str">
        <f>IF(T16="","",VLOOKUP(T16,'11. Lists'!$S$47:$U$50,2,FALSE))</f>
        <v/>
      </c>
      <c r="W16" s="214" t="str">
        <f>IF(D16="","",VLOOKUP(D16,'10. Condition and Temporal'!$B$6:$C$103,2,FALSE))</f>
        <v/>
      </c>
      <c r="X16" s="211" t="str">
        <f>IF(W16="","",VLOOKUP(W16,'11. Lists'!$F$47:$G$51,2,FALSE))</f>
        <v/>
      </c>
      <c r="Y16" s="213"/>
      <c r="Z16" s="213"/>
      <c r="AA16" s="213"/>
      <c r="AB16" s="212" t="str">
        <f t="shared" si="4"/>
        <v/>
      </c>
      <c r="AC16" s="215" t="str">
        <f>IF(AB16="","",VLOOKUP(AB16,'11. Lists'!$F$36:$H$38,2,FALSE))</f>
        <v/>
      </c>
      <c r="AD16" s="211" t="str">
        <f>IF(AB16="","",VLOOKUP(AB16,'11. Lists'!$F$36:$H$38,3,FALSE))</f>
        <v/>
      </c>
      <c r="AE16" s="216" t="str">
        <f t="shared" si="5"/>
        <v/>
      </c>
      <c r="AF16" s="217" t="str">
        <f t="shared" si="6"/>
        <v/>
      </c>
      <c r="AG16" s="218" t="str">
        <f t="shared" si="7"/>
        <v/>
      </c>
      <c r="AH16" s="214" t="str">
        <f>IF(T16="","",VLOOKUP(T16,'11. Lists'!$B$47:$D$49,3,FALSE))</f>
        <v/>
      </c>
      <c r="AI16" s="211" t="str">
        <f>IF(D16="","",VLOOKUP(D16,'10. Condition and Temporal'!$B$6:$L$103,4,FALSE))</f>
        <v/>
      </c>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row>
    <row r="17" ht="14.25" customHeight="1">
      <c r="A17" s="1"/>
      <c r="B17" s="221">
        <v>7.0</v>
      </c>
      <c r="C17" s="493" t="s">
        <v>253</v>
      </c>
      <c r="D17" s="222"/>
      <c r="E17" s="43"/>
      <c r="F17" s="202"/>
      <c r="G17" s="31"/>
      <c r="H17" s="32"/>
      <c r="I17" s="203"/>
      <c r="J17" s="223"/>
      <c r="K17" s="205"/>
      <c r="L17" s="505" t="str">
        <f t="shared" si="1"/>
        <v/>
      </c>
      <c r="M17" s="224" t="str">
        <f t="shared" si="2"/>
        <v/>
      </c>
      <c r="N17" s="506" t="str">
        <f t="shared" si="3"/>
        <v/>
      </c>
      <c r="O17" s="226"/>
      <c r="P17" s="227"/>
      <c r="Q17" s="1"/>
      <c r="R17" s="161"/>
      <c r="S17" s="1"/>
      <c r="T17" s="210" t="str">
        <f>IF(D17="","",VLOOKUP(D17,'9. All Habitats + Multipliers'!$C$4:$K$102,5,FALSE))</f>
        <v/>
      </c>
      <c r="U17" s="47"/>
      <c r="V17" s="381" t="str">
        <f>IF(T17="","",VLOOKUP(T17,'11. Lists'!$S$47:$U$50,2,FALSE))</f>
        <v/>
      </c>
      <c r="W17" s="214" t="str">
        <f>IF(D17="","",VLOOKUP(D17,'10. Condition and Temporal'!$B$6:$C$103,2,FALSE))</f>
        <v/>
      </c>
      <c r="X17" s="211" t="str">
        <f>IF(W17="","",VLOOKUP(W17,'11. Lists'!$F$47:$G$51,2,FALSE))</f>
        <v/>
      </c>
      <c r="Y17" s="213"/>
      <c r="Z17" s="213"/>
      <c r="AA17" s="213"/>
      <c r="AB17" s="212" t="str">
        <f t="shared" si="4"/>
        <v/>
      </c>
      <c r="AC17" s="215" t="str">
        <f>IF(AB17="","",VLOOKUP(AB17,'11. Lists'!$F$36:$H$38,2,FALSE))</f>
        <v/>
      </c>
      <c r="AD17" s="211" t="str">
        <f>IF(AB17="","",VLOOKUP(AB17,'11. Lists'!$F$36:$H$38,3,FALSE))</f>
        <v/>
      </c>
      <c r="AE17" s="216" t="str">
        <f t="shared" si="5"/>
        <v/>
      </c>
      <c r="AF17" s="217" t="str">
        <f t="shared" si="6"/>
        <v/>
      </c>
      <c r="AG17" s="218" t="str">
        <f t="shared" si="7"/>
        <v/>
      </c>
      <c r="AH17" s="214" t="str">
        <f>IF(T17="","",VLOOKUP(T17,'11. Lists'!$B$47:$D$49,3,FALSE))</f>
        <v/>
      </c>
      <c r="AI17" s="211" t="str">
        <f>IF(D17="","",VLOOKUP(D17,'10. Condition and Temporal'!$B$6:$L$103,4,FALSE))</f>
        <v/>
      </c>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row>
    <row r="18" ht="14.25" customHeight="1">
      <c r="A18" s="1"/>
      <c r="B18" s="221">
        <v>8.0</v>
      </c>
      <c r="C18" s="493" t="s">
        <v>253</v>
      </c>
      <c r="D18" s="222"/>
      <c r="E18" s="43"/>
      <c r="F18" s="202"/>
      <c r="G18" s="31"/>
      <c r="H18" s="32"/>
      <c r="I18" s="203"/>
      <c r="J18" s="223"/>
      <c r="K18" s="205"/>
      <c r="L18" s="505" t="str">
        <f t="shared" si="1"/>
        <v/>
      </c>
      <c r="M18" s="224" t="str">
        <f t="shared" si="2"/>
        <v/>
      </c>
      <c r="N18" s="506" t="str">
        <f t="shared" si="3"/>
        <v/>
      </c>
      <c r="O18" s="226"/>
      <c r="P18" s="227"/>
      <c r="Q18" s="1"/>
      <c r="R18" s="161"/>
      <c r="S18" s="1"/>
      <c r="T18" s="210" t="str">
        <f>IF(D18="","",VLOOKUP(D18,'9. All Habitats + Multipliers'!$C$4:$K$102,5,FALSE))</f>
        <v/>
      </c>
      <c r="U18" s="47"/>
      <c r="V18" s="381" t="str">
        <f>IF(T18="","",VLOOKUP(T18,'11. Lists'!$S$47:$U$50,2,FALSE))</f>
        <v/>
      </c>
      <c r="W18" s="214" t="str">
        <f>IF(D18="","",VLOOKUP(D18,'10. Condition and Temporal'!$B$6:$C$103,2,FALSE))</f>
        <v/>
      </c>
      <c r="X18" s="211" t="str">
        <f>IF(W18="","",VLOOKUP(W18,'11. Lists'!$F$47:$G$51,2,FALSE))</f>
        <v/>
      </c>
      <c r="Y18" s="213"/>
      <c r="Z18" s="213"/>
      <c r="AA18" s="213"/>
      <c r="AB18" s="212" t="str">
        <f t="shared" si="4"/>
        <v/>
      </c>
      <c r="AC18" s="215" t="str">
        <f>IF(AB18="","",VLOOKUP(AB18,'11. Lists'!$F$36:$H$38,2,FALSE))</f>
        <v/>
      </c>
      <c r="AD18" s="211" t="str">
        <f>IF(AB18="","",VLOOKUP(AB18,'11. Lists'!$F$36:$H$38,3,FALSE))</f>
        <v/>
      </c>
      <c r="AE18" s="216" t="str">
        <f t="shared" si="5"/>
        <v/>
      </c>
      <c r="AF18" s="217" t="str">
        <f t="shared" si="6"/>
        <v/>
      </c>
      <c r="AG18" s="218" t="str">
        <f t="shared" si="7"/>
        <v/>
      </c>
      <c r="AH18" s="214" t="str">
        <f>IF(T18="","",VLOOKUP(T18,'11. Lists'!$B$47:$D$49,3,FALSE))</f>
        <v/>
      </c>
      <c r="AI18" s="211" t="str">
        <f>IF(D18="","",VLOOKUP(D18,'10. Condition and Temporal'!$B$6:$L$103,4,FALSE))</f>
        <v/>
      </c>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row>
    <row r="19" ht="14.25" customHeight="1">
      <c r="A19" s="1"/>
      <c r="B19" s="221">
        <v>9.0</v>
      </c>
      <c r="C19" s="493" t="s">
        <v>253</v>
      </c>
      <c r="D19" s="222"/>
      <c r="E19" s="43"/>
      <c r="F19" s="202"/>
      <c r="G19" s="31"/>
      <c r="H19" s="32"/>
      <c r="I19" s="203"/>
      <c r="J19" s="223"/>
      <c r="K19" s="205"/>
      <c r="L19" s="505" t="str">
        <f t="shared" si="1"/>
        <v/>
      </c>
      <c r="M19" s="224" t="str">
        <f t="shared" si="2"/>
        <v/>
      </c>
      <c r="N19" s="506" t="str">
        <f t="shared" si="3"/>
        <v/>
      </c>
      <c r="O19" s="226"/>
      <c r="P19" s="227"/>
      <c r="Q19" s="1"/>
      <c r="R19" s="161"/>
      <c r="S19" s="1"/>
      <c r="T19" s="210" t="str">
        <f>IF(D19="","",VLOOKUP(D19,'9. All Habitats + Multipliers'!$C$4:$K$102,5,FALSE))</f>
        <v/>
      </c>
      <c r="U19" s="47"/>
      <c r="V19" s="381" t="str">
        <f>IF(T19="","",VLOOKUP(T19,'11. Lists'!$S$47:$U$50,2,FALSE))</f>
        <v/>
      </c>
      <c r="W19" s="214" t="str">
        <f>IF(D19="","",VLOOKUP(D19,'10. Condition and Temporal'!$B$6:$C$103,2,FALSE))</f>
        <v/>
      </c>
      <c r="X19" s="211" t="str">
        <f>IF(W19="","",VLOOKUP(W19,'11. Lists'!$F$47:$G$51,2,FALSE))</f>
        <v/>
      </c>
      <c r="Y19" s="213"/>
      <c r="Z19" s="213"/>
      <c r="AA19" s="213"/>
      <c r="AB19" s="212" t="str">
        <f t="shared" si="4"/>
        <v/>
      </c>
      <c r="AC19" s="215" t="str">
        <f>IF(AB19="","",VLOOKUP(AB19,'11. Lists'!$F$36:$H$38,2,FALSE))</f>
        <v/>
      </c>
      <c r="AD19" s="211" t="str">
        <f>IF(AB19="","",VLOOKUP(AB19,'11. Lists'!$F$36:$H$38,3,FALSE))</f>
        <v/>
      </c>
      <c r="AE19" s="216" t="str">
        <f t="shared" si="5"/>
        <v/>
      </c>
      <c r="AF19" s="217" t="str">
        <f t="shared" si="6"/>
        <v/>
      </c>
      <c r="AG19" s="218" t="str">
        <f t="shared" si="7"/>
        <v/>
      </c>
      <c r="AH19" s="214" t="str">
        <f>IF(T19="","",VLOOKUP(T19,'11. Lists'!$B$47:$D$49,3,FALSE))</f>
        <v/>
      </c>
      <c r="AI19" s="211" t="str">
        <f>IF(D19="","",VLOOKUP(D19,'10. Condition and Temporal'!$B$6:$L$103,4,FALSE))</f>
        <v/>
      </c>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ht="14.25" customHeight="1">
      <c r="A20" s="1"/>
      <c r="B20" s="221">
        <v>10.0</v>
      </c>
      <c r="C20" s="508" t="s">
        <v>253</v>
      </c>
      <c r="D20" s="222"/>
      <c r="E20" s="43"/>
      <c r="F20" s="202"/>
      <c r="G20" s="31"/>
      <c r="H20" s="32"/>
      <c r="I20" s="203"/>
      <c r="J20" s="223"/>
      <c r="K20" s="205"/>
      <c r="L20" s="505" t="str">
        <f t="shared" si="1"/>
        <v/>
      </c>
      <c r="M20" s="224" t="str">
        <f t="shared" si="2"/>
        <v/>
      </c>
      <c r="N20" s="506" t="str">
        <f t="shared" si="3"/>
        <v/>
      </c>
      <c r="O20" s="228"/>
      <c r="P20" s="229"/>
      <c r="Q20" s="1"/>
      <c r="R20" s="161"/>
      <c r="S20" s="1"/>
      <c r="T20" s="210" t="str">
        <f>IF(D20="","",VLOOKUP(D20,'9. All Habitats + Multipliers'!$C$4:$K$102,5,FALSE))</f>
        <v/>
      </c>
      <c r="U20" s="47"/>
      <c r="V20" s="381" t="str">
        <f>IF(T20="","",VLOOKUP(T20,'11. Lists'!$S$47:$U$50,2,FALSE))</f>
        <v/>
      </c>
      <c r="W20" s="214" t="str">
        <f>IF(D20="","",VLOOKUP(D20,'10. Condition and Temporal'!$B$6:$C$103,2,FALSE))</f>
        <v/>
      </c>
      <c r="X20" s="211" t="str">
        <f>IF(W20="","",VLOOKUP(W20,'11. Lists'!$F$47:$G$51,2,FALSE))</f>
        <v/>
      </c>
      <c r="Y20" s="213"/>
      <c r="Z20" s="213"/>
      <c r="AA20" s="213"/>
      <c r="AB20" s="212" t="str">
        <f t="shared" si="4"/>
        <v/>
      </c>
      <c r="AC20" s="215" t="str">
        <f>IF(AB20="","",VLOOKUP(AB20,'11. Lists'!$F$36:$H$38,2,FALSE))</f>
        <v/>
      </c>
      <c r="AD20" s="211" t="str">
        <f>IF(AB20="","",VLOOKUP(AB20,'11. Lists'!$F$36:$H$38,3,FALSE))</f>
        <v/>
      </c>
      <c r="AE20" s="216" t="str">
        <f t="shared" si="5"/>
        <v/>
      </c>
      <c r="AF20" s="217" t="str">
        <f t="shared" si="6"/>
        <v/>
      </c>
      <c r="AG20" s="218" t="str">
        <f t="shared" si="7"/>
        <v/>
      </c>
      <c r="AH20" s="214" t="str">
        <f>IF(T20="","",VLOOKUP(T20,'11. Lists'!$B$47:$D$49,3,FALSE))</f>
        <v/>
      </c>
      <c r="AI20" s="211" t="str">
        <f>IF(D20="","",VLOOKUP(D20,'10. Condition and Temporal'!$B$6:$L$103,4,FALSE))</f>
        <v/>
      </c>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row>
    <row r="21" ht="14.25" customHeight="1">
      <c r="A21" s="1"/>
      <c r="B21" s="221">
        <v>11.0</v>
      </c>
      <c r="C21" s="493" t="s">
        <v>253</v>
      </c>
      <c r="D21" s="222"/>
      <c r="E21" s="43"/>
      <c r="F21" s="202"/>
      <c r="G21" s="31"/>
      <c r="H21" s="32"/>
      <c r="I21" s="203"/>
      <c r="J21" s="223"/>
      <c r="K21" s="205"/>
      <c r="L21" s="505" t="str">
        <f t="shared" si="1"/>
        <v/>
      </c>
      <c r="M21" s="224" t="str">
        <f t="shared" si="2"/>
        <v/>
      </c>
      <c r="N21" s="506" t="str">
        <f t="shared" si="3"/>
        <v/>
      </c>
      <c r="O21" s="228"/>
      <c r="P21" s="229"/>
      <c r="Q21" s="1"/>
      <c r="R21" s="161"/>
      <c r="S21" s="1"/>
      <c r="T21" s="210" t="str">
        <f>IF(D21="","",VLOOKUP(D21,'9. All Habitats + Multipliers'!$C$4:$K$102,5,FALSE))</f>
        <v/>
      </c>
      <c r="U21" s="47"/>
      <c r="V21" s="381" t="str">
        <f>IF(T21="","",VLOOKUP(T21,'11. Lists'!$S$47:$U$50,2,FALSE))</f>
        <v/>
      </c>
      <c r="W21" s="214" t="str">
        <f>IF(D21="","",VLOOKUP(D21,'10. Condition and Temporal'!$B$6:$C$103,2,FALSE))</f>
        <v/>
      </c>
      <c r="X21" s="211" t="str">
        <f>IF(W21="","",VLOOKUP(W21,'11. Lists'!$F$47:$G$51,2,FALSE))</f>
        <v/>
      </c>
      <c r="Y21" s="213"/>
      <c r="Z21" s="213"/>
      <c r="AA21" s="213"/>
      <c r="AB21" s="212" t="str">
        <f t="shared" si="4"/>
        <v/>
      </c>
      <c r="AC21" s="215" t="str">
        <f>IF(AB21="","",VLOOKUP(AB21,'11. Lists'!$F$36:$H$38,2,FALSE))</f>
        <v/>
      </c>
      <c r="AD21" s="211" t="str">
        <f>IF(AB21="","",VLOOKUP(AB21,'11. Lists'!$F$36:$H$38,3,FALSE))</f>
        <v/>
      </c>
      <c r="AE21" s="216" t="str">
        <f t="shared" si="5"/>
        <v/>
      </c>
      <c r="AF21" s="217" t="str">
        <f t="shared" si="6"/>
        <v/>
      </c>
      <c r="AG21" s="218" t="str">
        <f t="shared" si="7"/>
        <v/>
      </c>
      <c r="AH21" s="214" t="str">
        <f>IF(T21="","",VLOOKUP(T21,'11. Lists'!$B$47:$D$49,3,FALSE))</f>
        <v/>
      </c>
      <c r="AI21" s="211" t="str">
        <f>IF(D21="","",VLOOKUP(D21,'10. Condition and Temporal'!$B$6:$L$103,4,FALSE))</f>
        <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row>
    <row r="22" ht="14.25" customHeight="1">
      <c r="A22" s="1"/>
      <c r="B22" s="221">
        <v>12.0</v>
      </c>
      <c r="C22" s="493" t="s">
        <v>253</v>
      </c>
      <c r="D22" s="222"/>
      <c r="E22" s="43"/>
      <c r="F22" s="202"/>
      <c r="G22" s="31"/>
      <c r="H22" s="32"/>
      <c r="I22" s="203"/>
      <c r="J22" s="223"/>
      <c r="K22" s="205"/>
      <c r="L22" s="505" t="str">
        <f t="shared" si="1"/>
        <v/>
      </c>
      <c r="M22" s="224" t="str">
        <f t="shared" si="2"/>
        <v/>
      </c>
      <c r="N22" s="506" t="str">
        <f t="shared" si="3"/>
        <v/>
      </c>
      <c r="O22" s="228"/>
      <c r="P22" s="229"/>
      <c r="Q22" s="1"/>
      <c r="R22" s="161"/>
      <c r="S22" s="1"/>
      <c r="T22" s="210" t="str">
        <f>IF(D22="","",VLOOKUP(D22,'9. All Habitats + Multipliers'!$C$4:$K$102,5,FALSE))</f>
        <v/>
      </c>
      <c r="U22" s="47"/>
      <c r="V22" s="381" t="str">
        <f>IF(T22="","",VLOOKUP(T22,'11. Lists'!$S$47:$U$50,2,FALSE))</f>
        <v/>
      </c>
      <c r="W22" s="214" t="str">
        <f>IF(D22="","",VLOOKUP(D22,'10. Condition and Temporal'!$B$6:$C$103,2,FALSE))</f>
        <v/>
      </c>
      <c r="X22" s="211" t="str">
        <f>IF(W22="","",VLOOKUP(W22,'11. Lists'!$F$47:$G$51,2,FALSE))</f>
        <v/>
      </c>
      <c r="Y22" s="213"/>
      <c r="Z22" s="213"/>
      <c r="AA22" s="213"/>
      <c r="AB22" s="212" t="str">
        <f t="shared" si="4"/>
        <v/>
      </c>
      <c r="AC22" s="215" t="str">
        <f>IF(AB22="","",VLOOKUP(AB22,'11. Lists'!$F$36:$H$38,2,FALSE))</f>
        <v/>
      </c>
      <c r="AD22" s="211" t="str">
        <f>IF(AB22="","",VLOOKUP(AB22,'11. Lists'!$F$36:$H$38,3,FALSE))</f>
        <v/>
      </c>
      <c r="AE22" s="216" t="str">
        <f t="shared" si="5"/>
        <v/>
      </c>
      <c r="AF22" s="217" t="str">
        <f t="shared" si="6"/>
        <v/>
      </c>
      <c r="AG22" s="218" t="str">
        <f t="shared" si="7"/>
        <v/>
      </c>
      <c r="AH22" s="214" t="str">
        <f>IF(T22="","",VLOOKUP(T22,'11. Lists'!$B$47:$D$49,3,FALSE))</f>
        <v/>
      </c>
      <c r="AI22" s="211" t="str">
        <f>IF(D22="","",VLOOKUP(D22,'10. Condition and Temporal'!$B$6:$L$103,4,FALSE))</f>
        <v/>
      </c>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ht="14.25" customHeight="1">
      <c r="A23" s="1"/>
      <c r="B23" s="221">
        <v>13.0</v>
      </c>
      <c r="C23" s="493" t="s">
        <v>253</v>
      </c>
      <c r="D23" s="222"/>
      <c r="E23" s="43"/>
      <c r="F23" s="202"/>
      <c r="G23" s="31"/>
      <c r="H23" s="32"/>
      <c r="I23" s="203"/>
      <c r="J23" s="223"/>
      <c r="K23" s="205"/>
      <c r="L23" s="505" t="str">
        <f t="shared" si="1"/>
        <v/>
      </c>
      <c r="M23" s="224" t="str">
        <f t="shared" si="2"/>
        <v/>
      </c>
      <c r="N23" s="506" t="str">
        <f t="shared" si="3"/>
        <v/>
      </c>
      <c r="O23" s="228"/>
      <c r="P23" s="229"/>
      <c r="Q23" s="1"/>
      <c r="R23" s="161"/>
      <c r="S23" s="1"/>
      <c r="T23" s="210" t="str">
        <f>IF(D23="","",VLOOKUP(D23,'9. All Habitats + Multipliers'!$C$4:$K$102,5,FALSE))</f>
        <v/>
      </c>
      <c r="U23" s="47"/>
      <c r="V23" s="381" t="str">
        <f>IF(T23="","",VLOOKUP(T23,'11. Lists'!$S$47:$U$50,2,FALSE))</f>
        <v/>
      </c>
      <c r="W23" s="214" t="str">
        <f>IF(D23="","",VLOOKUP(D23,'10. Condition and Temporal'!$B$6:$C$103,2,FALSE))</f>
        <v/>
      </c>
      <c r="X23" s="211" t="str">
        <f>IF(W23="","",VLOOKUP(W23,'11. Lists'!$F$47:$G$51,2,FALSE))</f>
        <v/>
      </c>
      <c r="Y23" s="213"/>
      <c r="Z23" s="213"/>
      <c r="AA23" s="213"/>
      <c r="AB23" s="212" t="str">
        <f t="shared" si="4"/>
        <v/>
      </c>
      <c r="AC23" s="215" t="str">
        <f>IF(AB23="","",VLOOKUP(AB23,'11. Lists'!$F$36:$H$38,2,FALSE))</f>
        <v/>
      </c>
      <c r="AD23" s="211" t="str">
        <f>IF(AB23="","",VLOOKUP(AB23,'11. Lists'!$F$36:$H$38,3,FALSE))</f>
        <v/>
      </c>
      <c r="AE23" s="216" t="str">
        <f t="shared" si="5"/>
        <v/>
      </c>
      <c r="AF23" s="217" t="str">
        <f t="shared" si="6"/>
        <v/>
      </c>
      <c r="AG23" s="218" t="str">
        <f t="shared" si="7"/>
        <v/>
      </c>
      <c r="AH23" s="214" t="str">
        <f>IF(T23="","",VLOOKUP(T23,'11. Lists'!$B$47:$D$49,3,FALSE))</f>
        <v/>
      </c>
      <c r="AI23" s="211" t="str">
        <f>IF(D23="","",VLOOKUP(D23,'10. Condition and Temporal'!$B$6:$L$103,4,FALSE))</f>
        <v/>
      </c>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ht="14.25" customHeight="1">
      <c r="A24" s="1"/>
      <c r="B24" s="221">
        <v>14.0</v>
      </c>
      <c r="C24" s="493" t="s">
        <v>253</v>
      </c>
      <c r="D24" s="222"/>
      <c r="E24" s="43"/>
      <c r="F24" s="202"/>
      <c r="G24" s="31"/>
      <c r="H24" s="32"/>
      <c r="I24" s="203"/>
      <c r="J24" s="223"/>
      <c r="K24" s="205"/>
      <c r="L24" s="505" t="str">
        <f t="shared" si="1"/>
        <v/>
      </c>
      <c r="M24" s="224" t="str">
        <f t="shared" si="2"/>
        <v/>
      </c>
      <c r="N24" s="506" t="str">
        <f t="shared" si="3"/>
        <v/>
      </c>
      <c r="O24" s="228"/>
      <c r="P24" s="229"/>
      <c r="Q24" s="1"/>
      <c r="R24" s="161"/>
      <c r="S24" s="1"/>
      <c r="T24" s="210" t="str">
        <f>IF(D24="","",VLOOKUP(D24,'9. All Habitats + Multipliers'!$C$4:$K$102,5,FALSE))</f>
        <v/>
      </c>
      <c r="U24" s="47"/>
      <c r="V24" s="381" t="str">
        <f>IF(T24="","",VLOOKUP(T24,'11. Lists'!$S$47:$U$50,2,FALSE))</f>
        <v/>
      </c>
      <c r="W24" s="214" t="str">
        <f>IF(D24="","",VLOOKUP(D24,'10. Condition and Temporal'!$B$6:$C$103,2,FALSE))</f>
        <v/>
      </c>
      <c r="X24" s="211" t="str">
        <f>IF(W24="","",VLOOKUP(W24,'11. Lists'!$F$47:$G$51,2,FALSE))</f>
        <v/>
      </c>
      <c r="Y24" s="213"/>
      <c r="Z24" s="213"/>
      <c r="AA24" s="213"/>
      <c r="AB24" s="212" t="str">
        <f t="shared" si="4"/>
        <v/>
      </c>
      <c r="AC24" s="215" t="str">
        <f>IF(AB24="","",VLOOKUP(AB24,'11. Lists'!$F$36:$H$38,2,FALSE))</f>
        <v/>
      </c>
      <c r="AD24" s="211" t="str">
        <f>IF(AB24="","",VLOOKUP(AB24,'11. Lists'!$F$36:$H$38,3,FALSE))</f>
        <v/>
      </c>
      <c r="AE24" s="216" t="str">
        <f t="shared" si="5"/>
        <v/>
      </c>
      <c r="AF24" s="217" t="str">
        <f t="shared" si="6"/>
        <v/>
      </c>
      <c r="AG24" s="218" t="str">
        <f t="shared" si="7"/>
        <v/>
      </c>
      <c r="AH24" s="214" t="str">
        <f>IF(T24="","",VLOOKUP(T24,'11. Lists'!$B$47:$D$49,3,FALSE))</f>
        <v/>
      </c>
      <c r="AI24" s="211" t="str">
        <f>IF(D24="","",VLOOKUP(D24,'10. Condition and Temporal'!$B$6:$L$103,4,FALSE))</f>
        <v/>
      </c>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ht="14.25" customHeight="1">
      <c r="A25" s="1"/>
      <c r="B25" s="221">
        <v>15.0</v>
      </c>
      <c r="C25" s="493" t="s">
        <v>253</v>
      </c>
      <c r="D25" s="222"/>
      <c r="E25" s="43"/>
      <c r="F25" s="202"/>
      <c r="G25" s="31"/>
      <c r="H25" s="32"/>
      <c r="I25" s="203"/>
      <c r="J25" s="223"/>
      <c r="K25" s="205"/>
      <c r="L25" s="505" t="str">
        <f t="shared" si="1"/>
        <v/>
      </c>
      <c r="M25" s="224" t="str">
        <f t="shared" si="2"/>
        <v/>
      </c>
      <c r="N25" s="506" t="str">
        <f t="shared" si="3"/>
        <v/>
      </c>
      <c r="O25" s="228"/>
      <c r="P25" s="229"/>
      <c r="Q25" s="1"/>
      <c r="R25" s="161"/>
      <c r="S25" s="1"/>
      <c r="T25" s="210" t="str">
        <f>IF(D25="","",VLOOKUP(D25,'9. All Habitats + Multipliers'!$C$4:$K$102,5,FALSE))</f>
        <v/>
      </c>
      <c r="U25" s="47"/>
      <c r="V25" s="381" t="str">
        <f>IF(T25="","",VLOOKUP(T25,'11. Lists'!$S$47:$U$50,2,FALSE))</f>
        <v/>
      </c>
      <c r="W25" s="214" t="str">
        <f>IF(D25="","",VLOOKUP(D25,'10. Condition and Temporal'!$B$6:$C$103,2,FALSE))</f>
        <v/>
      </c>
      <c r="X25" s="211" t="str">
        <f>IF(W25="","",VLOOKUP(W25,'11. Lists'!$F$47:$G$51,2,FALSE))</f>
        <v/>
      </c>
      <c r="Y25" s="213"/>
      <c r="Z25" s="213"/>
      <c r="AA25" s="213"/>
      <c r="AB25" s="212" t="str">
        <f t="shared" si="4"/>
        <v/>
      </c>
      <c r="AC25" s="215" t="str">
        <f>IF(AB25="","",VLOOKUP(AB25,'11. Lists'!$F$36:$H$38,2,FALSE))</f>
        <v/>
      </c>
      <c r="AD25" s="211" t="str">
        <f>IF(AB25="","",VLOOKUP(AB25,'11. Lists'!$F$36:$H$38,3,FALSE))</f>
        <v/>
      </c>
      <c r="AE25" s="216" t="str">
        <f t="shared" si="5"/>
        <v/>
      </c>
      <c r="AF25" s="217" t="str">
        <f t="shared" si="6"/>
        <v/>
      </c>
      <c r="AG25" s="218" t="str">
        <f t="shared" si="7"/>
        <v/>
      </c>
      <c r="AH25" s="214" t="str">
        <f>IF(T25="","",VLOOKUP(T25,'11. Lists'!$B$47:$D$49,3,FALSE))</f>
        <v/>
      </c>
      <c r="AI25" s="211" t="str">
        <f>IF(D25="","",VLOOKUP(D25,'10. Condition and Temporal'!$B$6:$L$103,4,FALSE))</f>
        <v/>
      </c>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ht="14.25" customHeight="1">
      <c r="A26" s="1"/>
      <c r="B26" s="221">
        <v>16.0</v>
      </c>
      <c r="C26" s="493" t="s">
        <v>253</v>
      </c>
      <c r="D26" s="222"/>
      <c r="E26" s="43"/>
      <c r="F26" s="202"/>
      <c r="G26" s="31"/>
      <c r="H26" s="32"/>
      <c r="I26" s="203"/>
      <c r="J26" s="223"/>
      <c r="K26" s="205"/>
      <c r="L26" s="505" t="str">
        <f t="shared" si="1"/>
        <v/>
      </c>
      <c r="M26" s="224" t="str">
        <f t="shared" si="2"/>
        <v/>
      </c>
      <c r="N26" s="506" t="str">
        <f t="shared" si="3"/>
        <v/>
      </c>
      <c r="O26" s="228"/>
      <c r="P26" s="229"/>
      <c r="Q26" s="1"/>
      <c r="R26" s="161"/>
      <c r="S26" s="1"/>
      <c r="T26" s="210" t="str">
        <f>IF(D26="","",VLOOKUP(D26,'9. All Habitats + Multipliers'!$C$4:$K$102,5,FALSE))</f>
        <v/>
      </c>
      <c r="U26" s="47"/>
      <c r="V26" s="381" t="str">
        <f>IF(T26="","",VLOOKUP(T26,'11. Lists'!$S$47:$U$50,2,FALSE))</f>
        <v/>
      </c>
      <c r="W26" s="214" t="str">
        <f>IF(D26="","",VLOOKUP(D26,'10. Condition and Temporal'!$B$6:$C$103,2,FALSE))</f>
        <v/>
      </c>
      <c r="X26" s="211" t="str">
        <f>IF(W26="","",VLOOKUP(W26,'11. Lists'!$F$47:$G$51,2,FALSE))</f>
        <v/>
      </c>
      <c r="Y26" s="213"/>
      <c r="Z26" s="213"/>
      <c r="AA26" s="213"/>
      <c r="AB26" s="212" t="str">
        <f t="shared" si="4"/>
        <v/>
      </c>
      <c r="AC26" s="215" t="str">
        <f>IF(AB26="","",VLOOKUP(AB26,'11. Lists'!$F$36:$H$38,2,FALSE))</f>
        <v/>
      </c>
      <c r="AD26" s="211" t="str">
        <f>IF(AB26="","",VLOOKUP(AB26,'11. Lists'!$F$36:$H$38,3,FALSE))</f>
        <v/>
      </c>
      <c r="AE26" s="216" t="str">
        <f t="shared" si="5"/>
        <v/>
      </c>
      <c r="AF26" s="217" t="str">
        <f t="shared" si="6"/>
        <v/>
      </c>
      <c r="AG26" s="218" t="str">
        <f t="shared" si="7"/>
        <v/>
      </c>
      <c r="AH26" s="214" t="str">
        <f>IF(T26="","",VLOOKUP(T26,'11. Lists'!$B$47:$D$49,3,FALSE))</f>
        <v/>
      </c>
      <c r="AI26" s="211" t="str">
        <f>IF(D26="","",VLOOKUP(D26,'10. Condition and Temporal'!$B$6:$L$103,4,FALSE))</f>
        <v/>
      </c>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row>
    <row r="27" ht="14.25" customHeight="1">
      <c r="A27" s="1"/>
      <c r="B27" s="221">
        <v>17.0</v>
      </c>
      <c r="C27" s="493" t="s">
        <v>253</v>
      </c>
      <c r="D27" s="222"/>
      <c r="E27" s="43"/>
      <c r="F27" s="202"/>
      <c r="G27" s="31"/>
      <c r="H27" s="32"/>
      <c r="I27" s="203"/>
      <c r="J27" s="223"/>
      <c r="K27" s="205"/>
      <c r="L27" s="505" t="str">
        <f t="shared" si="1"/>
        <v/>
      </c>
      <c r="M27" s="224" t="str">
        <f t="shared" si="2"/>
        <v/>
      </c>
      <c r="N27" s="506" t="str">
        <f t="shared" si="3"/>
        <v/>
      </c>
      <c r="O27" s="228"/>
      <c r="P27" s="229"/>
      <c r="Q27" s="1"/>
      <c r="R27" s="161"/>
      <c r="S27" s="1"/>
      <c r="T27" s="210" t="str">
        <f>IF(D27="","",VLOOKUP(D27,'9. All Habitats + Multipliers'!$C$4:$K$102,5,FALSE))</f>
        <v/>
      </c>
      <c r="U27" s="47"/>
      <c r="V27" s="381" t="str">
        <f>IF(T27="","",VLOOKUP(T27,'11. Lists'!$S$47:$U$50,2,FALSE))</f>
        <v/>
      </c>
      <c r="W27" s="214" t="str">
        <f>IF(D27="","",VLOOKUP(D27,'10. Condition and Temporal'!$B$6:$C$103,2,FALSE))</f>
        <v/>
      </c>
      <c r="X27" s="211" t="str">
        <f>IF(W27="","",VLOOKUP(W27,'11. Lists'!$F$47:$G$51,2,FALSE))</f>
        <v/>
      </c>
      <c r="Y27" s="213"/>
      <c r="Z27" s="213"/>
      <c r="AA27" s="213"/>
      <c r="AB27" s="212" t="str">
        <f t="shared" si="4"/>
        <v/>
      </c>
      <c r="AC27" s="215" t="str">
        <f>IF(AB27="","",VLOOKUP(AB27,'11. Lists'!$F$36:$H$38,2,FALSE))</f>
        <v/>
      </c>
      <c r="AD27" s="211" t="str">
        <f>IF(AB27="","",VLOOKUP(AB27,'11. Lists'!$F$36:$H$38,3,FALSE))</f>
        <v/>
      </c>
      <c r="AE27" s="216" t="str">
        <f t="shared" si="5"/>
        <v/>
      </c>
      <c r="AF27" s="217" t="str">
        <f t="shared" si="6"/>
        <v/>
      </c>
      <c r="AG27" s="218" t="str">
        <f t="shared" si="7"/>
        <v/>
      </c>
      <c r="AH27" s="214" t="str">
        <f>IF(T27="","",VLOOKUP(T27,'11. Lists'!$B$47:$D$49,3,FALSE))</f>
        <v/>
      </c>
      <c r="AI27" s="211" t="str">
        <f>IF(D27="","",VLOOKUP(D27,'10. Condition and Temporal'!$B$6:$L$103,4,FALSE))</f>
        <v/>
      </c>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ht="14.25" customHeight="1">
      <c r="A28" s="1"/>
      <c r="B28" s="221">
        <v>18.0</v>
      </c>
      <c r="C28" s="493" t="s">
        <v>253</v>
      </c>
      <c r="D28" s="222"/>
      <c r="E28" s="43"/>
      <c r="F28" s="202"/>
      <c r="G28" s="31"/>
      <c r="H28" s="32"/>
      <c r="I28" s="203"/>
      <c r="J28" s="223"/>
      <c r="K28" s="205"/>
      <c r="L28" s="505" t="str">
        <f t="shared" si="1"/>
        <v/>
      </c>
      <c r="M28" s="224" t="str">
        <f t="shared" si="2"/>
        <v/>
      </c>
      <c r="N28" s="506" t="str">
        <f t="shared" si="3"/>
        <v/>
      </c>
      <c r="O28" s="228"/>
      <c r="P28" s="229"/>
      <c r="Q28" s="1"/>
      <c r="R28" s="161"/>
      <c r="S28" s="1"/>
      <c r="T28" s="210" t="str">
        <f>IF(D28="","",VLOOKUP(D28,'9. All Habitats + Multipliers'!$C$4:$K$102,5,FALSE))</f>
        <v/>
      </c>
      <c r="U28" s="47"/>
      <c r="V28" s="381" t="str">
        <f>IF(T28="","",VLOOKUP(T28,'11. Lists'!$S$47:$U$50,2,FALSE))</f>
        <v/>
      </c>
      <c r="W28" s="214" t="str">
        <f>IF(D28="","",VLOOKUP(D28,'10. Condition and Temporal'!$B$6:$C$103,2,FALSE))</f>
        <v/>
      </c>
      <c r="X28" s="211" t="str">
        <f>IF(W28="","",VLOOKUP(W28,'11. Lists'!$F$47:$G$51,2,FALSE))</f>
        <v/>
      </c>
      <c r="Y28" s="213"/>
      <c r="Z28" s="213"/>
      <c r="AA28" s="213"/>
      <c r="AB28" s="212" t="str">
        <f t="shared" si="4"/>
        <v/>
      </c>
      <c r="AC28" s="215" t="str">
        <f>IF(AB28="","",VLOOKUP(AB28,'11. Lists'!$F$36:$H$38,2,FALSE))</f>
        <v/>
      </c>
      <c r="AD28" s="211" t="str">
        <f>IF(AB28="","",VLOOKUP(AB28,'11. Lists'!$F$36:$H$38,3,FALSE))</f>
        <v/>
      </c>
      <c r="AE28" s="216" t="str">
        <f t="shared" si="5"/>
        <v/>
      </c>
      <c r="AF28" s="217" t="str">
        <f t="shared" si="6"/>
        <v/>
      </c>
      <c r="AG28" s="218" t="str">
        <f t="shared" si="7"/>
        <v/>
      </c>
      <c r="AH28" s="214" t="str">
        <f>IF(T28="","",VLOOKUP(T28,'11. Lists'!$B$47:$D$49,3,FALSE))</f>
        <v/>
      </c>
      <c r="AI28" s="211" t="str">
        <f>IF(D28="","",VLOOKUP(D28,'10. Condition and Temporal'!$B$6:$L$103,4,FALSE))</f>
        <v/>
      </c>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row>
    <row r="29" ht="14.25" customHeight="1">
      <c r="A29" s="1"/>
      <c r="B29" s="221">
        <v>19.0</v>
      </c>
      <c r="C29" s="509" t="s">
        <v>253</v>
      </c>
      <c r="D29" s="222"/>
      <c r="E29" s="43"/>
      <c r="F29" s="202"/>
      <c r="G29" s="31"/>
      <c r="H29" s="32"/>
      <c r="I29" s="203"/>
      <c r="J29" s="223"/>
      <c r="K29" s="205"/>
      <c r="L29" s="505" t="str">
        <f t="shared" si="1"/>
        <v/>
      </c>
      <c r="M29" s="224" t="str">
        <f t="shared" si="2"/>
        <v/>
      </c>
      <c r="N29" s="506" t="str">
        <f t="shared" si="3"/>
        <v/>
      </c>
      <c r="O29" s="228"/>
      <c r="P29" s="229"/>
      <c r="Q29" s="1"/>
      <c r="R29" s="161"/>
      <c r="S29" s="1"/>
      <c r="T29" s="210" t="str">
        <f>IF(D29="","",VLOOKUP(D29,'9. All Habitats + Multipliers'!$C$4:$K$102,5,FALSE))</f>
        <v/>
      </c>
      <c r="U29" s="47"/>
      <c r="V29" s="381" t="str">
        <f>IF(T29="","",VLOOKUP(T29,'11. Lists'!$S$47:$U$50,2,FALSE))</f>
        <v/>
      </c>
      <c r="W29" s="214" t="str">
        <f>IF(D29="","",VLOOKUP(D29,'10. Condition and Temporal'!$B$6:$C$103,2,FALSE))</f>
        <v/>
      </c>
      <c r="X29" s="211" t="str">
        <f>IF(W29="","",VLOOKUP(W29,'11. Lists'!$F$47:$G$51,2,FALSE))</f>
        <v/>
      </c>
      <c r="Y29" s="213"/>
      <c r="Z29" s="213"/>
      <c r="AA29" s="213"/>
      <c r="AB29" s="212" t="str">
        <f t="shared" si="4"/>
        <v/>
      </c>
      <c r="AC29" s="215" t="str">
        <f>IF(AB29="","",VLOOKUP(AB29,'11. Lists'!$F$36:$H$38,2,FALSE))</f>
        <v/>
      </c>
      <c r="AD29" s="211" t="str">
        <f>IF(AB29="","",VLOOKUP(AB29,'11. Lists'!$F$36:$H$38,3,FALSE))</f>
        <v/>
      </c>
      <c r="AE29" s="216" t="str">
        <f t="shared" si="5"/>
        <v/>
      </c>
      <c r="AF29" s="217" t="str">
        <f t="shared" si="6"/>
        <v/>
      </c>
      <c r="AG29" s="218" t="str">
        <f t="shared" si="7"/>
        <v/>
      </c>
      <c r="AH29" s="214" t="str">
        <f>IF(T29="","",VLOOKUP(T29,'11. Lists'!$B$47:$D$49,3,FALSE))</f>
        <v/>
      </c>
      <c r="AI29" s="211" t="str">
        <f>IF(D29="","",VLOOKUP(D29,'10. Condition and Temporal'!$B$6:$L$103,4,FALSE))</f>
        <v/>
      </c>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row>
    <row r="30" ht="14.25" customHeight="1">
      <c r="A30" s="1"/>
      <c r="B30" s="231">
        <v>20.0</v>
      </c>
      <c r="C30" s="510" t="s">
        <v>253</v>
      </c>
      <c r="D30" s="232"/>
      <c r="E30" s="54"/>
      <c r="F30" s="511"/>
      <c r="G30" s="171"/>
      <c r="H30" s="172"/>
      <c r="I30" s="512"/>
      <c r="J30" s="513"/>
      <c r="K30" s="514"/>
      <c r="L30" s="515" t="str">
        <f t="shared" si="1"/>
        <v/>
      </c>
      <c r="M30" s="516" t="str">
        <f t="shared" si="2"/>
        <v/>
      </c>
      <c r="N30" s="517" t="str">
        <f t="shared" si="3"/>
        <v/>
      </c>
      <c r="O30" s="235"/>
      <c r="P30" s="236"/>
      <c r="Q30" s="1"/>
      <c r="R30" s="161"/>
      <c r="S30" s="1"/>
      <c r="T30" s="210" t="str">
        <f>IF(D30="","",VLOOKUP(D30,'9. All Habitats + Multipliers'!$C$4:$K$102,5,FALSE))</f>
        <v/>
      </c>
      <c r="U30" s="47"/>
      <c r="V30" s="381" t="str">
        <f>IF(T30="","",VLOOKUP(T30,'11. Lists'!$S$47:$U$50,2,FALSE))</f>
        <v/>
      </c>
      <c r="W30" s="253" t="str">
        <f>IF(D30="","",VLOOKUP(D30,'10. Condition and Temporal'!$B$6:$C$103,2,FALSE))</f>
        <v/>
      </c>
      <c r="X30" s="251" t="str">
        <f>IF(W30="","",VLOOKUP(W30,'11. Lists'!$F$47:$G$51,2,FALSE))</f>
        <v/>
      </c>
      <c r="Y30" s="213"/>
      <c r="Z30" s="213"/>
      <c r="AA30" s="213"/>
      <c r="AB30" s="212" t="str">
        <f t="shared" si="4"/>
        <v/>
      </c>
      <c r="AC30" s="215" t="str">
        <f>IF(AB30="","",VLOOKUP(AB30,'11. Lists'!$F$36:$H$38,2,FALSE))</f>
        <v/>
      </c>
      <c r="AD30" s="211" t="str">
        <f>IF(AB30="","",VLOOKUP(AB30,'11. Lists'!$F$36:$H$38,3,FALSE))</f>
        <v/>
      </c>
      <c r="AE30" s="216" t="str">
        <f t="shared" si="5"/>
        <v/>
      </c>
      <c r="AF30" s="217" t="str">
        <f t="shared" si="6"/>
        <v/>
      </c>
      <c r="AG30" s="218" t="str">
        <f t="shared" si="7"/>
        <v/>
      </c>
      <c r="AH30" s="214" t="str">
        <f>IF(T30="","",VLOOKUP(T30,'11. Lists'!$B$47:$D$49,3,FALSE))</f>
        <v/>
      </c>
      <c r="AI30" s="211" t="str">
        <f>IF(D30="","",VLOOKUP(D30,'10. Condition and Temporal'!$B$6:$L$103,4,FALSE))</f>
        <v/>
      </c>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row>
    <row r="31" ht="14.25" customHeight="1">
      <c r="A31" s="1"/>
      <c r="B31" s="1"/>
      <c r="C31" s="1"/>
      <c r="D31" s="176"/>
      <c r="E31" s="259"/>
      <c r="F31" s="259"/>
      <c r="G31" s="259"/>
      <c r="H31" s="518" t="s">
        <v>256</v>
      </c>
      <c r="I31" s="519">
        <f t="shared" ref="I31:N31" si="8">SUM(I11:I30)</f>
        <v>115</v>
      </c>
      <c r="J31" s="520">
        <f t="shared" si="8"/>
        <v>106</v>
      </c>
      <c r="K31" s="521">
        <f t="shared" si="8"/>
        <v>0</v>
      </c>
      <c r="L31" s="264">
        <f t="shared" si="8"/>
        <v>0.16</v>
      </c>
      <c r="M31" s="265">
        <f t="shared" si="8"/>
        <v>9</v>
      </c>
      <c r="N31" s="266">
        <f t="shared" si="8"/>
        <v>0.009</v>
      </c>
      <c r="O31" s="1"/>
      <c r="P31" s="1"/>
      <c r="Q31" s="1"/>
      <c r="R31" s="20"/>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row>
    <row r="32" ht="14.25" customHeight="1">
      <c r="A32" s="1"/>
      <c r="B32" s="1"/>
      <c r="C32" s="1"/>
      <c r="D32" s="176"/>
      <c r="E32" s="259"/>
      <c r="F32" s="259"/>
      <c r="G32" s="259"/>
      <c r="H32" s="522" t="s">
        <v>125</v>
      </c>
      <c r="I32" s="523" t="str">
        <f>IF(I31&lt;J31+K31,"Error - Lengths Retained and Enhanced Exceed Total Length ▲","Lengths Acceptable ✓")</f>
        <v>Lengths Acceptable ✓</v>
      </c>
      <c r="J32" s="36"/>
      <c r="K32" s="36"/>
      <c r="L32" s="36"/>
      <c r="M32" s="36"/>
      <c r="N32" s="37"/>
      <c r="O32" s="10">
        <f>IFERROR(FIND("Error",I32),0)</f>
        <v>0</v>
      </c>
      <c r="P32" s="1"/>
      <c r="Q32" s="1"/>
      <c r="R32" s="269"/>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row>
    <row r="33" ht="14.25" customHeight="1">
      <c r="A33" s="1"/>
      <c r="B33" s="1"/>
      <c r="C33" s="1"/>
      <c r="D33" s="176"/>
      <c r="E33" s="259"/>
      <c r="F33" s="259"/>
      <c r="G33" s="259"/>
      <c r="H33" s="272" t="s">
        <v>126</v>
      </c>
      <c r="I33" s="524" t="str">
        <f>IF(I31&lt;5000,"Lengths Acceptable ✓",IF(I31&gt;=5000,"Length Exceeds Length Appropriate for Small Sites Metric ▲"))</f>
        <v>Lengths Acceptable ✓</v>
      </c>
      <c r="J33" s="53"/>
      <c r="K33" s="53"/>
      <c r="L33" s="53"/>
      <c r="M33" s="53"/>
      <c r="N33" s="54"/>
      <c r="O33" s="10">
        <f>COUNTIF(L11:N30,"*"&amp;"error"&amp;"*")</f>
        <v>0</v>
      </c>
      <c r="P33" s="1"/>
      <c r="Q33" s="1"/>
      <c r="R33" s="269"/>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row>
    <row r="34" ht="14.25" customHeight="1">
      <c r="A34" s="1"/>
      <c r="B34" s="1"/>
      <c r="C34" s="1"/>
      <c r="D34" s="176"/>
      <c r="E34" s="259"/>
      <c r="F34" s="259"/>
      <c r="G34" s="259"/>
      <c r="H34" s="259"/>
      <c r="I34" s="259"/>
      <c r="J34" s="259"/>
      <c r="K34" s="259"/>
      <c r="L34" s="259"/>
      <c r="M34" s="259"/>
      <c r="N34" s="259"/>
      <c r="O34" s="259"/>
      <c r="P34" s="1"/>
      <c r="Q34" s="1"/>
      <c r="R34" s="153" t="s">
        <v>77</v>
      </c>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row>
    <row r="35" ht="14.25" customHeight="1">
      <c r="A35" s="1"/>
      <c r="B35" s="128" t="s">
        <v>128</v>
      </c>
      <c r="C35" s="1"/>
      <c r="D35" s="174"/>
      <c r="E35" s="259"/>
      <c r="F35" s="259"/>
      <c r="G35" s="259"/>
      <c r="H35" s="1"/>
      <c r="I35" s="154"/>
      <c r="J35" s="1"/>
      <c r="K35" s="1"/>
      <c r="L35" s="1"/>
      <c r="M35" s="1"/>
      <c r="N35" s="1"/>
      <c r="O35" s="1"/>
      <c r="P35" s="1"/>
      <c r="Q35" s="1"/>
      <c r="R35" s="16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row>
    <row r="36" ht="15.75" customHeight="1">
      <c r="A36" s="1"/>
      <c r="B36" s="1"/>
      <c r="C36" s="1"/>
      <c r="D36" s="1"/>
      <c r="E36" s="1"/>
      <c r="F36" s="1"/>
      <c r="G36" s="1"/>
      <c r="H36" s="1"/>
      <c r="I36" s="1"/>
      <c r="J36" s="1"/>
      <c r="K36" s="1"/>
      <c r="L36" s="1"/>
      <c r="M36" s="1"/>
      <c r="N36" s="1"/>
      <c r="O36" s="1"/>
      <c r="P36" s="1"/>
      <c r="Q36" s="1"/>
      <c r="R36" s="16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row>
    <row r="37" ht="15.75" customHeight="1">
      <c r="A37" s="1"/>
      <c r="B37" s="177" t="s">
        <v>71</v>
      </c>
      <c r="C37" s="274"/>
      <c r="D37" s="275"/>
      <c r="E37" s="178" t="s">
        <v>129</v>
      </c>
      <c r="F37" s="179"/>
      <c r="G37" s="60"/>
      <c r="H37" s="276" t="s">
        <v>130</v>
      </c>
      <c r="I37" s="180" t="s">
        <v>257</v>
      </c>
      <c r="J37" s="26"/>
      <c r="K37" s="27"/>
      <c r="L37" s="180" t="s">
        <v>258</v>
      </c>
      <c r="M37" s="26"/>
      <c r="N37" s="27"/>
      <c r="O37" s="525" t="s">
        <v>90</v>
      </c>
      <c r="P37" s="60"/>
      <c r="Q37" s="1"/>
      <c r="R37" s="161"/>
      <c r="S37" s="1"/>
      <c r="T37" s="182" t="s">
        <v>91</v>
      </c>
      <c r="U37" s="179"/>
      <c r="V37" s="275"/>
      <c r="W37" s="182" t="s">
        <v>92</v>
      </c>
      <c r="X37" s="60"/>
      <c r="Y37" s="184"/>
      <c r="Z37" s="14"/>
      <c r="AA37" s="15"/>
      <c r="AB37" s="183" t="s">
        <v>93</v>
      </c>
      <c r="AC37" s="179"/>
      <c r="AD37" s="60"/>
      <c r="AE37" s="182" t="s">
        <v>133</v>
      </c>
      <c r="AF37" s="60"/>
      <c r="AG37" s="182" t="s">
        <v>134</v>
      </c>
      <c r="AH37" s="60"/>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row>
    <row r="38" ht="14.25" customHeight="1">
      <c r="A38" s="1"/>
      <c r="B38" s="187"/>
      <c r="C38" s="189" t="s">
        <v>97</v>
      </c>
      <c r="D38" s="279" t="s">
        <v>135</v>
      </c>
      <c r="E38" s="168" t="s">
        <v>136</v>
      </c>
      <c r="F38" s="280" t="s">
        <v>137</v>
      </c>
      <c r="G38" s="54"/>
      <c r="H38" s="281"/>
      <c r="I38" s="170"/>
      <c r="J38" s="171"/>
      <c r="K38" s="172"/>
      <c r="L38" s="469"/>
      <c r="M38" s="8"/>
      <c r="N38" s="526"/>
      <c r="O38" s="333" t="s">
        <v>105</v>
      </c>
      <c r="P38" s="190" t="s">
        <v>106</v>
      </c>
      <c r="Q38" s="1"/>
      <c r="R38" s="161"/>
      <c r="S38" s="1"/>
      <c r="T38" s="191" t="s">
        <v>107</v>
      </c>
      <c r="U38" s="47"/>
      <c r="V38" s="489" t="s">
        <v>108</v>
      </c>
      <c r="W38" s="195" t="s">
        <v>109</v>
      </c>
      <c r="X38" s="192" t="s">
        <v>108</v>
      </c>
      <c r="Y38" s="194"/>
      <c r="Z38" s="194"/>
      <c r="AA38" s="194"/>
      <c r="AB38" s="193" t="s">
        <v>93</v>
      </c>
      <c r="AC38" s="196" t="s">
        <v>93</v>
      </c>
      <c r="AD38" s="192" t="s">
        <v>110</v>
      </c>
      <c r="AE38" s="195" t="s">
        <v>138</v>
      </c>
      <c r="AF38" s="192" t="s">
        <v>139</v>
      </c>
      <c r="AG38" s="195" t="s">
        <v>140</v>
      </c>
      <c r="AH38" s="192" t="s">
        <v>141</v>
      </c>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row>
    <row r="39" ht="14.25" customHeight="1">
      <c r="A39" s="1"/>
      <c r="B39" s="199">
        <v>1.0</v>
      </c>
      <c r="C39" s="493" t="s">
        <v>253</v>
      </c>
      <c r="D39" s="285"/>
      <c r="E39" s="527" t="str">
        <f>IF(D39="","",VLOOKUP(D39,'10. Condition and Temporal'!$B$6:$D$103,3,FALSE))</f>
        <v/>
      </c>
      <c r="F39" s="528"/>
      <c r="G39" s="60"/>
      <c r="H39" s="288"/>
      <c r="I39" s="289"/>
      <c r="J39" s="31"/>
      <c r="K39" s="31"/>
      <c r="L39" s="529" t="str">
        <f t="shared" ref="L39:L58" si="9">IF(D39="","",IFERROR(IF(I39="","",((I39/1000)*(V39*X39))*(AH39*AF39)*AD39),"This intervention is not permitted within the SSM ▲"))</f>
        <v/>
      </c>
      <c r="M39" s="179"/>
      <c r="N39" s="60"/>
      <c r="O39" s="360"/>
      <c r="P39" s="285"/>
      <c r="Q39" s="294"/>
      <c r="R39" s="161"/>
      <c r="S39" s="1"/>
      <c r="T39" s="210" t="str">
        <f>IF(D39="","",VLOOKUP(D39,'9. All Habitats + Multipliers'!$C$4:$K$102,5,FALSE))</f>
        <v/>
      </c>
      <c r="U39" s="47"/>
      <c r="V39" s="381" t="str">
        <f>IF(T39="","",VLOOKUP(T39,'11. Lists'!$S$47:$U$50,2,FALSE))</f>
        <v/>
      </c>
      <c r="W39" s="214" t="str">
        <f t="shared" ref="W39:W58" si="10">IF(F39="","",F39)</f>
        <v/>
      </c>
      <c r="X39" s="211" t="str">
        <f>IF(W39="","",VLOOKUP(W39,'11. Lists'!$F$47:$G$51,2,FALSE))</f>
        <v/>
      </c>
      <c r="Y39" s="213"/>
      <c r="Z39" s="213"/>
      <c r="AA39" s="213"/>
      <c r="AB39" s="212" t="str">
        <f t="shared" ref="AB39:AB58" si="11">IF(H39="","",H39)</f>
        <v/>
      </c>
      <c r="AC39" s="215" t="str">
        <f>IF(AB39="","",VLOOKUP(AB39,'11. Lists'!$F$36:$H$38,2,FALSE))</f>
        <v/>
      </c>
      <c r="AD39" s="211" t="str">
        <f>IF(AB39="","",VLOOKUP(AB39,'11. Lists'!$F$36:$H$38,3,FALSE))</f>
        <v/>
      </c>
      <c r="AE39" s="214"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295" t="str">
        <f>IF(AE39="","",VLOOKUP(AE39,'11. Lists'!$I$47:$K$80,3,FALSE))</f>
        <v/>
      </c>
      <c r="AG39" s="214" t="str">
        <f>IF(D39="","",VLOOKUP(D39,'9. All Habitats + Multipliers'!$C$4:$K$102,7,FALSE))</f>
        <v/>
      </c>
      <c r="AH39" s="211" t="str">
        <f>IF(AG39="","",VLOOKUP(AG39,'11. Lists'!$J$35:$K$38,2,FALSE))</f>
        <v/>
      </c>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row>
    <row r="40" ht="14.25" customHeight="1">
      <c r="A40" s="1"/>
      <c r="B40" s="221">
        <v>2.0</v>
      </c>
      <c r="C40" s="493" t="s">
        <v>253</v>
      </c>
      <c r="D40" s="285"/>
      <c r="E40" s="527" t="str">
        <f>IF(D40="","",VLOOKUP(D40,'10. Condition and Temporal'!$B$6:$D$103,3,FALSE))</f>
        <v/>
      </c>
      <c r="F40" s="530"/>
      <c r="G40" s="43"/>
      <c r="H40" s="298"/>
      <c r="I40" s="289"/>
      <c r="J40" s="31"/>
      <c r="K40" s="31"/>
      <c r="L40" s="531" t="str">
        <f t="shared" si="9"/>
        <v/>
      </c>
      <c r="M40" s="42"/>
      <c r="N40" s="43"/>
      <c r="O40" s="378"/>
      <c r="P40" s="300"/>
      <c r="Q40" s="294"/>
      <c r="R40" s="161"/>
      <c r="S40" s="1"/>
      <c r="T40" s="210" t="str">
        <f>IF(D40="","",VLOOKUP(D40,'9. All Habitats + Multipliers'!$C$4:$K$102,5,FALSE))</f>
        <v/>
      </c>
      <c r="U40" s="47"/>
      <c r="V40" s="381" t="str">
        <f>IF(T40="","",VLOOKUP(T40,'11. Lists'!$S$47:$U$50,2,FALSE))</f>
        <v/>
      </c>
      <c r="W40" s="214" t="str">
        <f t="shared" si="10"/>
        <v/>
      </c>
      <c r="X40" s="211" t="str">
        <f>IF(W40="","",VLOOKUP(W40,'11. Lists'!$F$47:$G$51,2,FALSE))</f>
        <v/>
      </c>
      <c r="Y40" s="213"/>
      <c r="Z40" s="213"/>
      <c r="AA40" s="213"/>
      <c r="AB40" s="212" t="str">
        <f t="shared" si="11"/>
        <v/>
      </c>
      <c r="AC40" s="215" t="str">
        <f>IF(AB40="","",VLOOKUP(AB40,'11. Lists'!$F$36:$H$38,2,FALSE))</f>
        <v/>
      </c>
      <c r="AD40" s="211" t="str">
        <f>IF(AB40="","",VLOOKUP(AB40,'11. Lists'!$F$36:$H$38,3,FALSE))</f>
        <v/>
      </c>
      <c r="AE40" s="214"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295" t="str">
        <f>IF(AE40="","",VLOOKUP(AE40,'11. Lists'!$I$47:$K$80,3,FALSE))</f>
        <v/>
      </c>
      <c r="AG40" s="214" t="str">
        <f>IF(D40="","",VLOOKUP(D40,'9. All Habitats + Multipliers'!$C$4:$K$102,7,FALSE))</f>
        <v/>
      </c>
      <c r="AH40" s="211" t="str">
        <f>IF(AG40="","",VLOOKUP(AG40,'11. Lists'!$J$35:$K$38,2,FALSE))</f>
        <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row>
    <row r="41" ht="14.25" customHeight="1">
      <c r="A41" s="1"/>
      <c r="B41" s="221">
        <v>3.0</v>
      </c>
      <c r="C41" s="493" t="s">
        <v>253</v>
      </c>
      <c r="D41" s="285"/>
      <c r="E41" s="527" t="str">
        <f>IF(D41="","",VLOOKUP(D41,'10. Condition and Temporal'!$B$6:$D$103,3,FALSE))</f>
        <v/>
      </c>
      <c r="F41" s="530"/>
      <c r="G41" s="43"/>
      <c r="H41" s="298"/>
      <c r="I41" s="289"/>
      <c r="J41" s="31"/>
      <c r="K41" s="31"/>
      <c r="L41" s="531" t="str">
        <f t="shared" si="9"/>
        <v/>
      </c>
      <c r="M41" s="42"/>
      <c r="N41" s="43"/>
      <c r="O41" s="378"/>
      <c r="P41" s="300"/>
      <c r="Q41" s="294"/>
      <c r="R41" s="161"/>
      <c r="S41" s="1"/>
      <c r="T41" s="210" t="str">
        <f>IF(D41="","",VLOOKUP(D41,'9. All Habitats + Multipliers'!$C$4:$K$102,5,FALSE))</f>
        <v/>
      </c>
      <c r="U41" s="47"/>
      <c r="V41" s="381" t="str">
        <f>IF(T41="","",VLOOKUP(T41,'11. Lists'!$S$47:$U$50,2,FALSE))</f>
        <v/>
      </c>
      <c r="W41" s="214" t="str">
        <f t="shared" si="10"/>
        <v/>
      </c>
      <c r="X41" s="211" t="str">
        <f>IF(W41="","",VLOOKUP(W41,'11. Lists'!$F$47:$G$51,2,FALSE))</f>
        <v/>
      </c>
      <c r="Y41" s="213"/>
      <c r="Z41" s="213"/>
      <c r="AA41" s="213"/>
      <c r="AB41" s="212" t="str">
        <f t="shared" si="11"/>
        <v/>
      </c>
      <c r="AC41" s="215" t="str">
        <f>IF(AB41="","",VLOOKUP(AB41,'11. Lists'!$F$36:$H$38,2,FALSE))</f>
        <v/>
      </c>
      <c r="AD41" s="211" t="str">
        <f>IF(AB41="","",VLOOKUP(AB41,'11. Lists'!$F$36:$H$38,3,FALSE))</f>
        <v/>
      </c>
      <c r="AE41" s="214"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295" t="str">
        <f>IF(AE41="","",VLOOKUP(AE41,'11. Lists'!$I$47:$K$80,3,FALSE))</f>
        <v/>
      </c>
      <c r="AG41" s="214" t="str">
        <f>IF(D41="","",VLOOKUP(D41,'9. All Habitats + Multipliers'!$C$4:$K$102,7,FALSE))</f>
        <v/>
      </c>
      <c r="AH41" s="211" t="str">
        <f>IF(AG41="","",VLOOKUP(AG41,'11. Lists'!$J$35:$K$38,2,FALSE))</f>
        <v/>
      </c>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row>
    <row r="42" ht="14.25" customHeight="1">
      <c r="A42" s="1"/>
      <c r="B42" s="221">
        <v>4.0</v>
      </c>
      <c r="C42" s="493" t="s">
        <v>253</v>
      </c>
      <c r="D42" s="285"/>
      <c r="E42" s="527" t="str">
        <f>IF(D42="","",VLOOKUP(D42,'10. Condition and Temporal'!$B$6:$D$103,3,FALSE))</f>
        <v/>
      </c>
      <c r="F42" s="530"/>
      <c r="G42" s="43"/>
      <c r="H42" s="298"/>
      <c r="I42" s="289"/>
      <c r="J42" s="31"/>
      <c r="K42" s="31"/>
      <c r="L42" s="531" t="str">
        <f t="shared" si="9"/>
        <v/>
      </c>
      <c r="M42" s="42"/>
      <c r="N42" s="43"/>
      <c r="O42" s="378"/>
      <c r="P42" s="300"/>
      <c r="Q42" s="294"/>
      <c r="R42" s="161"/>
      <c r="S42" s="1"/>
      <c r="T42" s="210" t="str">
        <f>IF(D42="","",VLOOKUP(D42,'9. All Habitats + Multipliers'!$C$4:$K$102,5,FALSE))</f>
        <v/>
      </c>
      <c r="U42" s="47"/>
      <c r="V42" s="381" t="str">
        <f>IF(T42="","",VLOOKUP(T42,'11. Lists'!$S$47:$U$50,2,FALSE))</f>
        <v/>
      </c>
      <c r="W42" s="214" t="str">
        <f t="shared" si="10"/>
        <v/>
      </c>
      <c r="X42" s="211" t="str">
        <f>IF(W42="","",VLOOKUP(W42,'11. Lists'!$F$47:$G$51,2,FALSE))</f>
        <v/>
      </c>
      <c r="Y42" s="213"/>
      <c r="Z42" s="213"/>
      <c r="AA42" s="213"/>
      <c r="AB42" s="212" t="str">
        <f t="shared" si="11"/>
        <v/>
      </c>
      <c r="AC42" s="215" t="str">
        <f>IF(AB42="","",VLOOKUP(AB42,'11. Lists'!$F$36:$H$38,2,FALSE))</f>
        <v/>
      </c>
      <c r="AD42" s="211" t="str">
        <f>IF(AB42="","",VLOOKUP(AB42,'11. Lists'!$F$36:$H$38,3,FALSE))</f>
        <v/>
      </c>
      <c r="AE42" s="214"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295" t="str">
        <f>IF(AE42="","",VLOOKUP(AE42,'11. Lists'!$I$47:$K$80,3,FALSE))</f>
        <v/>
      </c>
      <c r="AG42" s="214" t="str">
        <f>IF(D42="","",VLOOKUP(D42,'9. All Habitats + Multipliers'!$C$4:$K$102,7,FALSE))</f>
        <v/>
      </c>
      <c r="AH42" s="211" t="str">
        <f>IF(AG42="","",VLOOKUP(AG42,'11. Lists'!$J$35:$K$38,2,FALSE))</f>
        <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row>
    <row r="43" ht="14.25" customHeight="1">
      <c r="A43" s="1"/>
      <c r="B43" s="221">
        <v>5.0</v>
      </c>
      <c r="C43" s="493" t="s">
        <v>253</v>
      </c>
      <c r="D43" s="285"/>
      <c r="E43" s="527" t="str">
        <f>IF(D43="","",VLOOKUP(D43,'10. Condition and Temporal'!$B$6:$D$103,3,FALSE))</f>
        <v/>
      </c>
      <c r="F43" s="530"/>
      <c r="G43" s="43"/>
      <c r="H43" s="298"/>
      <c r="I43" s="289"/>
      <c r="J43" s="31"/>
      <c r="K43" s="31"/>
      <c r="L43" s="531" t="str">
        <f t="shared" si="9"/>
        <v/>
      </c>
      <c r="M43" s="42"/>
      <c r="N43" s="43"/>
      <c r="O43" s="378"/>
      <c r="P43" s="300"/>
      <c r="Q43" s="1"/>
      <c r="R43" s="161"/>
      <c r="S43" s="1"/>
      <c r="T43" s="210" t="str">
        <f>IF(D43="","",VLOOKUP(D43,'9. All Habitats + Multipliers'!$C$4:$K$102,5,FALSE))</f>
        <v/>
      </c>
      <c r="U43" s="47"/>
      <c r="V43" s="381" t="str">
        <f>IF(T43="","",VLOOKUP(T43,'11. Lists'!$S$47:$U$50,2,FALSE))</f>
        <v/>
      </c>
      <c r="W43" s="214" t="str">
        <f t="shared" si="10"/>
        <v/>
      </c>
      <c r="X43" s="211" t="str">
        <f>IF(W43="","",VLOOKUP(W43,'11. Lists'!$F$47:$G$51,2,FALSE))</f>
        <v/>
      </c>
      <c r="Y43" s="213"/>
      <c r="Z43" s="213"/>
      <c r="AA43" s="213"/>
      <c r="AB43" s="212" t="str">
        <f t="shared" si="11"/>
        <v/>
      </c>
      <c r="AC43" s="215" t="str">
        <f>IF(AB43="","",VLOOKUP(AB43,'11. Lists'!$F$36:$H$38,2,FALSE))</f>
        <v/>
      </c>
      <c r="AD43" s="211" t="str">
        <f>IF(AB43="","",VLOOKUP(AB43,'11. Lists'!$F$36:$H$38,3,FALSE))</f>
        <v/>
      </c>
      <c r="AE43" s="214"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295" t="str">
        <f>IF(AE43="","",VLOOKUP(AE43,'11. Lists'!$I$47:$K$80,3,FALSE))</f>
        <v/>
      </c>
      <c r="AG43" s="214" t="str">
        <f>IF(D43="","",VLOOKUP(D43,'9. All Habitats + Multipliers'!$C$4:$K$102,7,FALSE))</f>
        <v/>
      </c>
      <c r="AH43" s="211" t="str">
        <f>IF(AG43="","",VLOOKUP(AG43,'11. Lists'!$J$35:$K$38,2,FALSE))</f>
        <v/>
      </c>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row>
    <row r="44" ht="14.25" customHeight="1">
      <c r="A44" s="1"/>
      <c r="B44" s="221">
        <v>6.0</v>
      </c>
      <c r="C44" s="493" t="s">
        <v>253</v>
      </c>
      <c r="D44" s="285"/>
      <c r="E44" s="527" t="str">
        <f>IF(D44="","",VLOOKUP(D44,'10. Condition and Temporal'!$B$6:$D$103,3,FALSE))</f>
        <v/>
      </c>
      <c r="F44" s="530"/>
      <c r="G44" s="43"/>
      <c r="H44" s="298"/>
      <c r="I44" s="289"/>
      <c r="J44" s="31"/>
      <c r="K44" s="31"/>
      <c r="L44" s="531" t="str">
        <f t="shared" si="9"/>
        <v/>
      </c>
      <c r="M44" s="42"/>
      <c r="N44" s="43"/>
      <c r="O44" s="378"/>
      <c r="P44" s="300"/>
      <c r="Q44" s="1"/>
      <c r="R44" s="161"/>
      <c r="S44" s="1"/>
      <c r="T44" s="210" t="str">
        <f>IF(D44="","",VLOOKUP(D44,'9. All Habitats + Multipliers'!$C$4:$K$102,5,FALSE))</f>
        <v/>
      </c>
      <c r="U44" s="47"/>
      <c r="V44" s="381" t="str">
        <f>IF(T44="","",VLOOKUP(T44,'11. Lists'!$S$47:$U$50,2,FALSE))</f>
        <v/>
      </c>
      <c r="W44" s="214" t="str">
        <f t="shared" si="10"/>
        <v/>
      </c>
      <c r="X44" s="211" t="str">
        <f>IF(W44="","",VLOOKUP(W44,'11. Lists'!$F$47:$G$51,2,FALSE))</f>
        <v/>
      </c>
      <c r="Y44" s="213"/>
      <c r="Z44" s="213"/>
      <c r="AA44" s="213"/>
      <c r="AB44" s="212" t="str">
        <f t="shared" si="11"/>
        <v/>
      </c>
      <c r="AC44" s="215" t="str">
        <f>IF(AB44="","",VLOOKUP(AB44,'11. Lists'!$F$36:$H$38,2,FALSE))</f>
        <v/>
      </c>
      <c r="AD44" s="211" t="str">
        <f>IF(AB44="","",VLOOKUP(AB44,'11. Lists'!$F$36:$H$38,3,FALSE))</f>
        <v/>
      </c>
      <c r="AE44" s="214"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295" t="str">
        <f>IF(AE44="","",VLOOKUP(AE44,'11. Lists'!$I$47:$K$80,3,FALSE))</f>
        <v/>
      </c>
      <c r="AG44" s="214" t="str">
        <f>IF(D44="","",VLOOKUP(D44,'9. All Habitats + Multipliers'!$C$4:$K$102,7,FALSE))</f>
        <v/>
      </c>
      <c r="AH44" s="211" t="str">
        <f>IF(AG44="","",VLOOKUP(AG44,'11. Lists'!$J$35:$K$38,2,FALSE))</f>
        <v/>
      </c>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row>
    <row r="45" ht="14.25" customHeight="1">
      <c r="A45" s="1"/>
      <c r="B45" s="221">
        <v>7.0</v>
      </c>
      <c r="C45" s="493" t="s">
        <v>253</v>
      </c>
      <c r="D45" s="285"/>
      <c r="E45" s="527" t="str">
        <f>IF(D45="","",VLOOKUP(D45,'10. Condition and Temporal'!$B$6:$D$103,3,FALSE))</f>
        <v/>
      </c>
      <c r="F45" s="530"/>
      <c r="G45" s="43"/>
      <c r="H45" s="298"/>
      <c r="I45" s="289"/>
      <c r="J45" s="31"/>
      <c r="K45" s="31"/>
      <c r="L45" s="531" t="str">
        <f t="shared" si="9"/>
        <v/>
      </c>
      <c r="M45" s="42"/>
      <c r="N45" s="43"/>
      <c r="O45" s="378"/>
      <c r="P45" s="300"/>
      <c r="Q45" s="1"/>
      <c r="R45" s="161"/>
      <c r="S45" s="1"/>
      <c r="T45" s="210" t="str">
        <f>IF(D45="","",VLOOKUP(D45,'9. All Habitats + Multipliers'!$C$4:$K$102,5,FALSE))</f>
        <v/>
      </c>
      <c r="U45" s="47"/>
      <c r="V45" s="381" t="str">
        <f>IF(T45="","",VLOOKUP(T45,'11. Lists'!$S$47:$U$50,2,FALSE))</f>
        <v/>
      </c>
      <c r="W45" s="214" t="str">
        <f t="shared" si="10"/>
        <v/>
      </c>
      <c r="X45" s="211" t="str">
        <f>IF(W45="","",VLOOKUP(W45,'11. Lists'!$F$47:$G$51,2,FALSE))</f>
        <v/>
      </c>
      <c r="Y45" s="213"/>
      <c r="Z45" s="213"/>
      <c r="AA45" s="213"/>
      <c r="AB45" s="212" t="str">
        <f t="shared" si="11"/>
        <v/>
      </c>
      <c r="AC45" s="215" t="str">
        <f>IF(AB45="","",VLOOKUP(AB45,'11. Lists'!$F$36:$H$38,2,FALSE))</f>
        <v/>
      </c>
      <c r="AD45" s="211" t="str">
        <f>IF(AB45="","",VLOOKUP(AB45,'11. Lists'!$F$36:$H$38,3,FALSE))</f>
        <v/>
      </c>
      <c r="AE45" s="214"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295" t="str">
        <f>IF(AE45="","",VLOOKUP(AE45,'11. Lists'!$I$47:$K$80,3,FALSE))</f>
        <v/>
      </c>
      <c r="AG45" s="214" t="str">
        <f>IF(D45="","",VLOOKUP(D45,'9. All Habitats + Multipliers'!$C$4:$K$102,7,FALSE))</f>
        <v/>
      </c>
      <c r="AH45" s="211" t="str">
        <f>IF(AG45="","",VLOOKUP(AG45,'11. Lists'!$J$35:$K$38,2,FALSE))</f>
        <v/>
      </c>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row>
    <row r="46" ht="14.25" customHeight="1">
      <c r="A46" s="1"/>
      <c r="B46" s="221">
        <v>8.0</v>
      </c>
      <c r="C46" s="493" t="s">
        <v>253</v>
      </c>
      <c r="D46" s="285"/>
      <c r="E46" s="527" t="str">
        <f>IF(D46="","",VLOOKUP(D46,'10. Condition and Temporal'!$B$6:$D$103,3,FALSE))</f>
        <v/>
      </c>
      <c r="F46" s="530"/>
      <c r="G46" s="43"/>
      <c r="H46" s="298"/>
      <c r="I46" s="289"/>
      <c r="J46" s="31"/>
      <c r="K46" s="31"/>
      <c r="L46" s="531" t="str">
        <f t="shared" si="9"/>
        <v/>
      </c>
      <c r="M46" s="42"/>
      <c r="N46" s="43"/>
      <c r="O46" s="378"/>
      <c r="P46" s="300"/>
      <c r="Q46" s="1"/>
      <c r="R46" s="161"/>
      <c r="S46" s="1"/>
      <c r="T46" s="210" t="str">
        <f>IF(D46="","",VLOOKUP(D46,'9. All Habitats + Multipliers'!$C$4:$K$102,5,FALSE))</f>
        <v/>
      </c>
      <c r="U46" s="47"/>
      <c r="V46" s="381" t="str">
        <f>IF(T46="","",VLOOKUP(T46,'11. Lists'!$S$47:$U$50,2,FALSE))</f>
        <v/>
      </c>
      <c r="W46" s="214" t="str">
        <f t="shared" si="10"/>
        <v/>
      </c>
      <c r="X46" s="211" t="str">
        <f>IF(W46="","",VLOOKUP(W46,'11. Lists'!$F$47:$G$51,2,FALSE))</f>
        <v/>
      </c>
      <c r="Y46" s="213"/>
      <c r="Z46" s="213"/>
      <c r="AA46" s="213"/>
      <c r="AB46" s="212" t="str">
        <f t="shared" si="11"/>
        <v/>
      </c>
      <c r="AC46" s="215" t="str">
        <f>IF(AB46="","",VLOOKUP(AB46,'11. Lists'!$F$36:$H$38,2,FALSE))</f>
        <v/>
      </c>
      <c r="AD46" s="211" t="str">
        <f>IF(AB46="","",VLOOKUP(AB46,'11. Lists'!$F$36:$H$38,3,FALSE))</f>
        <v/>
      </c>
      <c r="AE46" s="214"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295" t="str">
        <f>IF(AE46="","",VLOOKUP(AE46,'11. Lists'!$I$47:$K$80,3,FALSE))</f>
        <v/>
      </c>
      <c r="AG46" s="214" t="str">
        <f>IF(D46="","",VLOOKUP(D46,'9. All Habitats + Multipliers'!$C$4:$K$102,7,FALSE))</f>
        <v/>
      </c>
      <c r="AH46" s="211" t="str">
        <f>IF(AG46="","",VLOOKUP(AG46,'11. Lists'!$J$35:$K$38,2,FALSE))</f>
        <v/>
      </c>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row>
    <row r="47" ht="14.25" customHeight="1">
      <c r="A47" s="1"/>
      <c r="B47" s="221">
        <v>9.0</v>
      </c>
      <c r="C47" s="493" t="s">
        <v>253</v>
      </c>
      <c r="D47" s="285"/>
      <c r="E47" s="527" t="str">
        <f>IF(D47="","",VLOOKUP(D47,'10. Condition and Temporal'!$B$6:$D$103,3,FALSE))</f>
        <v/>
      </c>
      <c r="F47" s="530"/>
      <c r="G47" s="43"/>
      <c r="H47" s="298"/>
      <c r="I47" s="289"/>
      <c r="J47" s="31"/>
      <c r="K47" s="31"/>
      <c r="L47" s="531" t="str">
        <f t="shared" si="9"/>
        <v/>
      </c>
      <c r="M47" s="42"/>
      <c r="N47" s="43"/>
      <c r="O47" s="378"/>
      <c r="P47" s="300"/>
      <c r="Q47" s="1"/>
      <c r="R47" s="161"/>
      <c r="S47" s="1"/>
      <c r="T47" s="210" t="str">
        <f>IF(D47="","",VLOOKUP(D47,'9. All Habitats + Multipliers'!$C$4:$K$102,5,FALSE))</f>
        <v/>
      </c>
      <c r="U47" s="47"/>
      <c r="V47" s="381" t="str">
        <f>IF(T47="","",VLOOKUP(T47,'11. Lists'!$S$47:$U$50,2,FALSE))</f>
        <v/>
      </c>
      <c r="W47" s="214" t="str">
        <f t="shared" si="10"/>
        <v/>
      </c>
      <c r="X47" s="211" t="str">
        <f>IF(W47="","",VLOOKUP(W47,'11. Lists'!$F$47:$G$51,2,FALSE))</f>
        <v/>
      </c>
      <c r="Y47" s="213"/>
      <c r="Z47" s="213"/>
      <c r="AA47" s="213"/>
      <c r="AB47" s="212" t="str">
        <f t="shared" si="11"/>
        <v/>
      </c>
      <c r="AC47" s="215" t="str">
        <f>IF(AB47="","",VLOOKUP(AB47,'11. Lists'!$F$36:$H$38,2,FALSE))</f>
        <v/>
      </c>
      <c r="AD47" s="211" t="str">
        <f>IF(AB47="","",VLOOKUP(AB47,'11. Lists'!$F$36:$H$38,3,FALSE))</f>
        <v/>
      </c>
      <c r="AE47" s="214"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295" t="str">
        <f>IF(AE47="","",VLOOKUP(AE47,'11. Lists'!$I$47:$K$80,3,FALSE))</f>
        <v/>
      </c>
      <c r="AG47" s="214" t="str">
        <f>IF(D47="","",VLOOKUP(D47,'9. All Habitats + Multipliers'!$C$4:$K$102,7,FALSE))</f>
        <v/>
      </c>
      <c r="AH47" s="211" t="str">
        <f>IF(AG47="","",VLOOKUP(AG47,'11. Lists'!$J$35:$K$38,2,FALSE))</f>
        <v/>
      </c>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row>
    <row r="48" ht="14.25" customHeight="1">
      <c r="A48" s="1"/>
      <c r="B48" s="221">
        <v>10.0</v>
      </c>
      <c r="C48" s="508" t="s">
        <v>253</v>
      </c>
      <c r="D48" s="285"/>
      <c r="E48" s="527" t="str">
        <f>IF(D48="","",VLOOKUP(D48,'10. Condition and Temporal'!$B$6:$D$103,3,FALSE))</f>
        <v/>
      </c>
      <c r="F48" s="530"/>
      <c r="G48" s="43"/>
      <c r="H48" s="298"/>
      <c r="I48" s="289"/>
      <c r="J48" s="31"/>
      <c r="K48" s="31"/>
      <c r="L48" s="531" t="str">
        <f t="shared" si="9"/>
        <v/>
      </c>
      <c r="M48" s="42"/>
      <c r="N48" s="43"/>
      <c r="O48" s="378"/>
      <c r="P48" s="300"/>
      <c r="Q48" s="1"/>
      <c r="R48" s="161"/>
      <c r="S48" s="1"/>
      <c r="T48" s="210" t="str">
        <f>IF(D48="","",VLOOKUP(D48,'9. All Habitats + Multipliers'!$C$4:$K$102,5,FALSE))</f>
        <v/>
      </c>
      <c r="U48" s="47"/>
      <c r="V48" s="381" t="str">
        <f>IF(T48="","",VLOOKUP(T48,'11. Lists'!$S$47:$U$50,2,FALSE))</f>
        <v/>
      </c>
      <c r="W48" s="214" t="str">
        <f t="shared" si="10"/>
        <v/>
      </c>
      <c r="X48" s="211" t="str">
        <f>IF(W48="","",VLOOKUP(W48,'11. Lists'!$F$47:$G$51,2,FALSE))</f>
        <v/>
      </c>
      <c r="Y48" s="213"/>
      <c r="Z48" s="213"/>
      <c r="AA48" s="213"/>
      <c r="AB48" s="212" t="str">
        <f t="shared" si="11"/>
        <v/>
      </c>
      <c r="AC48" s="215" t="str">
        <f>IF(AB48="","",VLOOKUP(AB48,'11. Lists'!$F$36:$H$38,2,FALSE))</f>
        <v/>
      </c>
      <c r="AD48" s="211" t="str">
        <f>IF(AB48="","",VLOOKUP(AB48,'11. Lists'!$F$36:$H$38,3,FALSE))</f>
        <v/>
      </c>
      <c r="AE48" s="214"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295" t="str">
        <f>IF(AE48="","",VLOOKUP(AE48,'11. Lists'!$I$47:$K$80,3,FALSE))</f>
        <v/>
      </c>
      <c r="AG48" s="214" t="str">
        <f>IF(D48="","",VLOOKUP(D48,'9. All Habitats + Multipliers'!$C$4:$K$102,7,FALSE))</f>
        <v/>
      </c>
      <c r="AH48" s="211" t="str">
        <f>IF(AG48="","",VLOOKUP(AG48,'11. Lists'!$J$35:$K$38,2,FALSE))</f>
        <v/>
      </c>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ht="14.25" customHeight="1">
      <c r="A49" s="1"/>
      <c r="B49" s="221">
        <v>11.0</v>
      </c>
      <c r="C49" s="493" t="s">
        <v>253</v>
      </c>
      <c r="D49" s="285"/>
      <c r="E49" s="527" t="str">
        <f>IF(D49="","",VLOOKUP(D49,'10. Condition and Temporal'!$B$6:$D$103,3,FALSE))</f>
        <v/>
      </c>
      <c r="F49" s="530"/>
      <c r="G49" s="43"/>
      <c r="H49" s="298"/>
      <c r="I49" s="289"/>
      <c r="J49" s="31"/>
      <c r="K49" s="31"/>
      <c r="L49" s="531" t="str">
        <f t="shared" si="9"/>
        <v/>
      </c>
      <c r="M49" s="42"/>
      <c r="N49" s="43"/>
      <c r="O49" s="378"/>
      <c r="P49" s="300"/>
      <c r="Q49" s="1"/>
      <c r="R49" s="161"/>
      <c r="S49" s="1"/>
      <c r="T49" s="210" t="str">
        <f>IF(D49="","",VLOOKUP(D49,'9. All Habitats + Multipliers'!$C$4:$K$102,5,FALSE))</f>
        <v/>
      </c>
      <c r="U49" s="47"/>
      <c r="V49" s="381" t="str">
        <f>IF(T49="","",VLOOKUP(T49,'11. Lists'!$S$47:$U$50,2,FALSE))</f>
        <v/>
      </c>
      <c r="W49" s="214" t="str">
        <f t="shared" si="10"/>
        <v/>
      </c>
      <c r="X49" s="211" t="str">
        <f>IF(W49="","",VLOOKUP(W49,'11. Lists'!$F$47:$G$51,2,FALSE))</f>
        <v/>
      </c>
      <c r="Y49" s="213"/>
      <c r="Z49" s="213"/>
      <c r="AA49" s="213"/>
      <c r="AB49" s="212" t="str">
        <f t="shared" si="11"/>
        <v/>
      </c>
      <c r="AC49" s="215" t="str">
        <f>IF(AB49="","",VLOOKUP(AB49,'11. Lists'!$F$36:$H$38,2,FALSE))</f>
        <v/>
      </c>
      <c r="AD49" s="211" t="str">
        <f>IF(AB49="","",VLOOKUP(AB49,'11. Lists'!$F$36:$H$38,3,FALSE))</f>
        <v/>
      </c>
      <c r="AE49" s="214"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295" t="str">
        <f>IF(AE49="","",VLOOKUP(AE49,'11. Lists'!$I$47:$K$80,3,FALSE))</f>
        <v/>
      </c>
      <c r="AG49" s="214" t="str">
        <f>IF(D49="","",VLOOKUP(D49,'9. All Habitats + Multipliers'!$C$4:$K$102,7,FALSE))</f>
        <v/>
      </c>
      <c r="AH49" s="211" t="str">
        <f>IF(AG49="","",VLOOKUP(AG49,'11. Lists'!$J$35:$K$38,2,FALSE))</f>
        <v/>
      </c>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row>
    <row r="50" ht="14.25" customHeight="1">
      <c r="A50" s="1"/>
      <c r="B50" s="221">
        <v>12.0</v>
      </c>
      <c r="C50" s="493" t="s">
        <v>253</v>
      </c>
      <c r="D50" s="285"/>
      <c r="E50" s="527" t="str">
        <f>IF(D50="","",VLOOKUP(D50,'10. Condition and Temporal'!$B$6:$D$103,3,FALSE))</f>
        <v/>
      </c>
      <c r="F50" s="530"/>
      <c r="G50" s="43"/>
      <c r="H50" s="298"/>
      <c r="I50" s="289"/>
      <c r="J50" s="31"/>
      <c r="K50" s="31"/>
      <c r="L50" s="531" t="str">
        <f t="shared" si="9"/>
        <v/>
      </c>
      <c r="M50" s="42"/>
      <c r="N50" s="43"/>
      <c r="O50" s="378"/>
      <c r="P50" s="300"/>
      <c r="Q50" s="1"/>
      <c r="R50" s="161"/>
      <c r="S50" s="1"/>
      <c r="T50" s="210" t="str">
        <f>IF(D50="","",VLOOKUP(D50,'9. All Habitats + Multipliers'!$C$4:$K$102,5,FALSE))</f>
        <v/>
      </c>
      <c r="U50" s="47"/>
      <c r="V50" s="381" t="str">
        <f>IF(T50="","",VLOOKUP(T50,'11. Lists'!$S$47:$U$50,2,FALSE))</f>
        <v/>
      </c>
      <c r="W50" s="214" t="str">
        <f t="shared" si="10"/>
        <v/>
      </c>
      <c r="X50" s="211" t="str">
        <f>IF(W50="","",VLOOKUP(W50,'11. Lists'!$F$47:$G$51,2,FALSE))</f>
        <v/>
      </c>
      <c r="Y50" s="213"/>
      <c r="Z50" s="213"/>
      <c r="AA50" s="213"/>
      <c r="AB50" s="212" t="str">
        <f t="shared" si="11"/>
        <v/>
      </c>
      <c r="AC50" s="215" t="str">
        <f>IF(AB50="","",VLOOKUP(AB50,'11. Lists'!$F$36:$H$38,2,FALSE))</f>
        <v/>
      </c>
      <c r="AD50" s="211" t="str">
        <f>IF(AB50="","",VLOOKUP(AB50,'11. Lists'!$F$36:$H$38,3,FALSE))</f>
        <v/>
      </c>
      <c r="AE50" s="214"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295" t="str">
        <f>IF(AE50="","",VLOOKUP(AE50,'11. Lists'!$I$47:$K$80,3,FALSE))</f>
        <v/>
      </c>
      <c r="AG50" s="214" t="str">
        <f>IF(D50="","",VLOOKUP(D50,'9. All Habitats + Multipliers'!$C$4:$K$102,7,FALSE))</f>
        <v/>
      </c>
      <c r="AH50" s="211" t="str">
        <f>IF(AG50="","",VLOOKUP(AG50,'11. Lists'!$J$35:$K$38,2,FALSE))</f>
        <v/>
      </c>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row>
    <row r="51" ht="14.25" customHeight="1">
      <c r="A51" s="1"/>
      <c r="B51" s="221">
        <v>13.0</v>
      </c>
      <c r="C51" s="493" t="s">
        <v>253</v>
      </c>
      <c r="D51" s="285"/>
      <c r="E51" s="527" t="str">
        <f>IF(D51="","",VLOOKUP(D51,'10. Condition and Temporal'!$B$6:$D$103,3,FALSE))</f>
        <v/>
      </c>
      <c r="F51" s="530"/>
      <c r="G51" s="43"/>
      <c r="H51" s="298"/>
      <c r="I51" s="289"/>
      <c r="J51" s="31"/>
      <c r="K51" s="31"/>
      <c r="L51" s="531" t="str">
        <f t="shared" si="9"/>
        <v/>
      </c>
      <c r="M51" s="42"/>
      <c r="N51" s="43"/>
      <c r="O51" s="378"/>
      <c r="P51" s="300"/>
      <c r="Q51" s="1"/>
      <c r="R51" s="161"/>
      <c r="S51" s="1"/>
      <c r="T51" s="210" t="str">
        <f>IF(D51="","",VLOOKUP(D51,'9. All Habitats + Multipliers'!$C$4:$K$102,5,FALSE))</f>
        <v/>
      </c>
      <c r="U51" s="47"/>
      <c r="V51" s="381" t="str">
        <f>IF(T51="","",VLOOKUP(T51,'11. Lists'!$S$47:$U$50,2,FALSE))</f>
        <v/>
      </c>
      <c r="W51" s="214" t="str">
        <f t="shared" si="10"/>
        <v/>
      </c>
      <c r="X51" s="211" t="str">
        <f>IF(W51="","",VLOOKUP(W51,'11. Lists'!$F$47:$G$51,2,FALSE))</f>
        <v/>
      </c>
      <c r="Y51" s="213"/>
      <c r="Z51" s="213"/>
      <c r="AA51" s="213"/>
      <c r="AB51" s="212" t="str">
        <f t="shared" si="11"/>
        <v/>
      </c>
      <c r="AC51" s="215" t="str">
        <f>IF(AB51="","",VLOOKUP(AB51,'11. Lists'!$F$36:$H$38,2,FALSE))</f>
        <v/>
      </c>
      <c r="AD51" s="211" t="str">
        <f>IF(AB51="","",VLOOKUP(AB51,'11. Lists'!$F$36:$H$38,3,FALSE))</f>
        <v/>
      </c>
      <c r="AE51" s="214"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295" t="str">
        <f>IF(AE51="","",VLOOKUP(AE51,'11. Lists'!$I$47:$K$80,3,FALSE))</f>
        <v/>
      </c>
      <c r="AG51" s="214" t="str">
        <f>IF(D51="","",VLOOKUP(D51,'9. All Habitats + Multipliers'!$C$4:$K$102,7,FALSE))</f>
        <v/>
      </c>
      <c r="AH51" s="211" t="str">
        <f>IF(AG51="","",VLOOKUP(AG51,'11. Lists'!$J$35:$K$38,2,FALSE))</f>
        <v/>
      </c>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row>
    <row r="52" ht="14.25" customHeight="1">
      <c r="A52" s="1"/>
      <c r="B52" s="221">
        <v>14.0</v>
      </c>
      <c r="C52" s="493" t="s">
        <v>253</v>
      </c>
      <c r="D52" s="285"/>
      <c r="E52" s="527" t="str">
        <f>IF(D52="","",VLOOKUP(D52,'10. Condition and Temporal'!$B$6:$D$103,3,FALSE))</f>
        <v/>
      </c>
      <c r="F52" s="530"/>
      <c r="G52" s="43"/>
      <c r="H52" s="298"/>
      <c r="I52" s="289"/>
      <c r="J52" s="31"/>
      <c r="K52" s="31"/>
      <c r="L52" s="531" t="str">
        <f t="shared" si="9"/>
        <v/>
      </c>
      <c r="M52" s="42"/>
      <c r="N52" s="43"/>
      <c r="O52" s="378"/>
      <c r="P52" s="300"/>
      <c r="Q52" s="1"/>
      <c r="R52" s="161"/>
      <c r="S52" s="1"/>
      <c r="T52" s="210" t="str">
        <f>IF(D52="","",VLOOKUP(D52,'9. All Habitats + Multipliers'!$C$4:$K$102,5,FALSE))</f>
        <v/>
      </c>
      <c r="U52" s="47"/>
      <c r="V52" s="381" t="str">
        <f>IF(T52="","",VLOOKUP(T52,'11. Lists'!$S$47:$U$50,2,FALSE))</f>
        <v/>
      </c>
      <c r="W52" s="214" t="str">
        <f t="shared" si="10"/>
        <v/>
      </c>
      <c r="X52" s="211" t="str">
        <f>IF(W52="","",VLOOKUP(W52,'11. Lists'!$F$47:$G$51,2,FALSE))</f>
        <v/>
      </c>
      <c r="Y52" s="213"/>
      <c r="Z52" s="213"/>
      <c r="AA52" s="213"/>
      <c r="AB52" s="212" t="str">
        <f t="shared" si="11"/>
        <v/>
      </c>
      <c r="AC52" s="215" t="str">
        <f>IF(AB52="","",VLOOKUP(AB52,'11. Lists'!$F$36:$H$38,2,FALSE))</f>
        <v/>
      </c>
      <c r="AD52" s="211" t="str">
        <f>IF(AB52="","",VLOOKUP(AB52,'11. Lists'!$F$36:$H$38,3,FALSE))</f>
        <v/>
      </c>
      <c r="AE52" s="214"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295" t="str">
        <f>IF(AE52="","",VLOOKUP(AE52,'11. Lists'!$I$47:$K$80,3,FALSE))</f>
        <v/>
      </c>
      <c r="AG52" s="214" t="str">
        <f>IF(D52="","",VLOOKUP(D52,'9. All Habitats + Multipliers'!$C$4:$K$102,7,FALSE))</f>
        <v/>
      </c>
      <c r="AH52" s="211" t="str">
        <f>IF(AG52="","",VLOOKUP(AG52,'11. Lists'!$J$35:$K$38,2,FALSE))</f>
        <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row>
    <row r="53" ht="14.25" customHeight="1">
      <c r="A53" s="1"/>
      <c r="B53" s="221">
        <v>15.0</v>
      </c>
      <c r="C53" s="493" t="s">
        <v>253</v>
      </c>
      <c r="D53" s="285"/>
      <c r="E53" s="527" t="str">
        <f>IF(D53="","",VLOOKUP(D53,'10. Condition and Temporal'!$B$6:$D$103,3,FALSE))</f>
        <v/>
      </c>
      <c r="F53" s="530"/>
      <c r="G53" s="43"/>
      <c r="H53" s="298"/>
      <c r="I53" s="289"/>
      <c r="J53" s="31"/>
      <c r="K53" s="31"/>
      <c r="L53" s="531" t="str">
        <f t="shared" si="9"/>
        <v/>
      </c>
      <c r="M53" s="42"/>
      <c r="N53" s="43"/>
      <c r="O53" s="378"/>
      <c r="P53" s="300"/>
      <c r="Q53" s="1"/>
      <c r="R53" s="161"/>
      <c r="S53" s="1"/>
      <c r="T53" s="210" t="str">
        <f>IF(D53="","",VLOOKUP(D53,'9. All Habitats + Multipliers'!$C$4:$K$102,5,FALSE))</f>
        <v/>
      </c>
      <c r="U53" s="47"/>
      <c r="V53" s="381" t="str">
        <f>IF(T53="","",VLOOKUP(T53,'11. Lists'!$S$47:$U$50,2,FALSE))</f>
        <v/>
      </c>
      <c r="W53" s="214" t="str">
        <f t="shared" si="10"/>
        <v/>
      </c>
      <c r="X53" s="211" t="str">
        <f>IF(W53="","",VLOOKUP(W53,'11. Lists'!$F$47:$G$51,2,FALSE))</f>
        <v/>
      </c>
      <c r="Y53" s="213"/>
      <c r="Z53" s="213"/>
      <c r="AA53" s="213"/>
      <c r="AB53" s="212" t="str">
        <f t="shared" si="11"/>
        <v/>
      </c>
      <c r="AC53" s="215" t="str">
        <f>IF(AB53="","",VLOOKUP(AB53,'11. Lists'!$F$36:$H$38,2,FALSE))</f>
        <v/>
      </c>
      <c r="AD53" s="211" t="str">
        <f>IF(AB53="","",VLOOKUP(AB53,'11. Lists'!$F$36:$H$38,3,FALSE))</f>
        <v/>
      </c>
      <c r="AE53" s="214"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295" t="str">
        <f>IF(AE53="","",VLOOKUP(AE53,'11. Lists'!$I$47:$K$80,3,FALSE))</f>
        <v/>
      </c>
      <c r="AG53" s="214" t="str">
        <f>IF(D53="","",VLOOKUP(D53,'9. All Habitats + Multipliers'!$C$4:$K$102,7,FALSE))</f>
        <v/>
      </c>
      <c r="AH53" s="211" t="str">
        <f>IF(AG53="","",VLOOKUP(AG53,'11. Lists'!$J$35:$K$38,2,FALSE))</f>
        <v/>
      </c>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ht="14.25" customHeight="1">
      <c r="A54" s="1"/>
      <c r="B54" s="221">
        <v>16.0</v>
      </c>
      <c r="C54" s="493" t="s">
        <v>253</v>
      </c>
      <c r="D54" s="285"/>
      <c r="E54" s="527" t="str">
        <f>IF(D54="","",VLOOKUP(D54,'10. Condition and Temporal'!$B$6:$D$103,3,FALSE))</f>
        <v/>
      </c>
      <c r="F54" s="530"/>
      <c r="G54" s="43"/>
      <c r="H54" s="298"/>
      <c r="I54" s="289"/>
      <c r="J54" s="31"/>
      <c r="K54" s="31"/>
      <c r="L54" s="531" t="str">
        <f t="shared" si="9"/>
        <v/>
      </c>
      <c r="M54" s="42"/>
      <c r="N54" s="43"/>
      <c r="O54" s="378"/>
      <c r="P54" s="300"/>
      <c r="Q54" s="1"/>
      <c r="R54" s="161"/>
      <c r="S54" s="1"/>
      <c r="T54" s="210" t="str">
        <f>IF(D54="","",VLOOKUP(D54,'9. All Habitats + Multipliers'!$C$4:$K$102,5,FALSE))</f>
        <v/>
      </c>
      <c r="U54" s="47"/>
      <c r="V54" s="381" t="str">
        <f>IF(T54="","",VLOOKUP(T54,'11. Lists'!$S$47:$U$50,2,FALSE))</f>
        <v/>
      </c>
      <c r="W54" s="214" t="str">
        <f t="shared" si="10"/>
        <v/>
      </c>
      <c r="X54" s="211" t="str">
        <f>IF(W54="","",VLOOKUP(W54,'11. Lists'!$F$47:$G$51,2,FALSE))</f>
        <v/>
      </c>
      <c r="Y54" s="213"/>
      <c r="Z54" s="213"/>
      <c r="AA54" s="213"/>
      <c r="AB54" s="212" t="str">
        <f t="shared" si="11"/>
        <v/>
      </c>
      <c r="AC54" s="215" t="str">
        <f>IF(AB54="","",VLOOKUP(AB54,'11. Lists'!$F$36:$H$38,2,FALSE))</f>
        <v/>
      </c>
      <c r="AD54" s="211" t="str">
        <f>IF(AB54="","",VLOOKUP(AB54,'11. Lists'!$F$36:$H$38,3,FALSE))</f>
        <v/>
      </c>
      <c r="AE54" s="214"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295" t="str">
        <f>IF(AE54="","",VLOOKUP(AE54,'11. Lists'!$I$47:$K$80,3,FALSE))</f>
        <v/>
      </c>
      <c r="AG54" s="214" t="str">
        <f>IF(D54="","",VLOOKUP(D54,'9. All Habitats + Multipliers'!$C$4:$K$102,7,FALSE))</f>
        <v/>
      </c>
      <c r="AH54" s="211" t="str">
        <f>IF(AG54="","",VLOOKUP(AG54,'11. Lists'!$J$35:$K$38,2,FALSE))</f>
        <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ht="14.25" customHeight="1">
      <c r="A55" s="1"/>
      <c r="B55" s="221">
        <v>17.0</v>
      </c>
      <c r="C55" s="493" t="s">
        <v>253</v>
      </c>
      <c r="D55" s="285"/>
      <c r="E55" s="527" t="str">
        <f>IF(D55="","",VLOOKUP(D55,'10. Condition and Temporal'!$B$6:$D$103,3,FALSE))</f>
        <v/>
      </c>
      <c r="F55" s="530"/>
      <c r="G55" s="43"/>
      <c r="H55" s="298"/>
      <c r="I55" s="289"/>
      <c r="J55" s="31"/>
      <c r="K55" s="31"/>
      <c r="L55" s="531" t="str">
        <f t="shared" si="9"/>
        <v/>
      </c>
      <c r="M55" s="42"/>
      <c r="N55" s="43"/>
      <c r="O55" s="378"/>
      <c r="P55" s="300"/>
      <c r="Q55" s="1"/>
      <c r="R55" s="161"/>
      <c r="S55" s="1"/>
      <c r="T55" s="210" t="str">
        <f>IF(D55="","",VLOOKUP(D55,'9. All Habitats + Multipliers'!$C$4:$K$102,5,FALSE))</f>
        <v/>
      </c>
      <c r="U55" s="47"/>
      <c r="V55" s="381" t="str">
        <f>IF(T55="","",VLOOKUP(T55,'11. Lists'!$S$47:$U$50,2,FALSE))</f>
        <v/>
      </c>
      <c r="W55" s="214" t="str">
        <f t="shared" si="10"/>
        <v/>
      </c>
      <c r="X55" s="211" t="str">
        <f>IF(W55="","",VLOOKUP(W55,'11. Lists'!$F$47:$G$51,2,FALSE))</f>
        <v/>
      </c>
      <c r="Y55" s="213"/>
      <c r="Z55" s="213"/>
      <c r="AA55" s="213"/>
      <c r="AB55" s="212" t="str">
        <f t="shared" si="11"/>
        <v/>
      </c>
      <c r="AC55" s="215" t="str">
        <f>IF(AB55="","",VLOOKUP(AB55,'11. Lists'!$F$36:$H$38,2,FALSE))</f>
        <v/>
      </c>
      <c r="AD55" s="211" t="str">
        <f>IF(AB55="","",VLOOKUP(AB55,'11. Lists'!$F$36:$H$38,3,FALSE))</f>
        <v/>
      </c>
      <c r="AE55" s="214"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295" t="str">
        <f>IF(AE55="","",VLOOKUP(AE55,'11. Lists'!$I$47:$K$80,3,FALSE))</f>
        <v/>
      </c>
      <c r="AG55" s="214" t="str">
        <f>IF(D55="","",VLOOKUP(D55,'9. All Habitats + Multipliers'!$C$4:$K$102,7,FALSE))</f>
        <v/>
      </c>
      <c r="AH55" s="211" t="str">
        <f>IF(AG55="","",VLOOKUP(AG55,'11. Lists'!$J$35:$K$38,2,FALSE))</f>
        <v/>
      </c>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ht="14.25" customHeight="1">
      <c r="A56" s="1"/>
      <c r="B56" s="221">
        <v>18.0</v>
      </c>
      <c r="C56" s="493" t="s">
        <v>253</v>
      </c>
      <c r="D56" s="285"/>
      <c r="E56" s="527" t="str">
        <f>IF(D56="","",VLOOKUP(D56,'10. Condition and Temporal'!$B$6:$D$103,3,FALSE))</f>
        <v/>
      </c>
      <c r="F56" s="530"/>
      <c r="G56" s="43"/>
      <c r="H56" s="298"/>
      <c r="I56" s="289"/>
      <c r="J56" s="31"/>
      <c r="K56" s="31"/>
      <c r="L56" s="531" t="str">
        <f t="shared" si="9"/>
        <v/>
      </c>
      <c r="M56" s="42"/>
      <c r="N56" s="43"/>
      <c r="O56" s="378"/>
      <c r="P56" s="300"/>
      <c r="Q56" s="1"/>
      <c r="R56" s="161"/>
      <c r="S56" s="1"/>
      <c r="T56" s="210" t="str">
        <f>IF(D56="","",VLOOKUP(D56,'9. All Habitats + Multipliers'!$C$4:$K$102,5,FALSE))</f>
        <v/>
      </c>
      <c r="U56" s="47"/>
      <c r="V56" s="381" t="str">
        <f>IF(T56="","",VLOOKUP(T56,'11. Lists'!$S$47:$U$50,2,FALSE))</f>
        <v/>
      </c>
      <c r="W56" s="214" t="str">
        <f t="shared" si="10"/>
        <v/>
      </c>
      <c r="X56" s="211" t="str">
        <f>IF(W56="","",VLOOKUP(W56,'11. Lists'!$F$47:$G$51,2,FALSE))</f>
        <v/>
      </c>
      <c r="Y56" s="213"/>
      <c r="Z56" s="213"/>
      <c r="AA56" s="213"/>
      <c r="AB56" s="212" t="str">
        <f t="shared" si="11"/>
        <v/>
      </c>
      <c r="AC56" s="215" t="str">
        <f>IF(AB56="","",VLOOKUP(AB56,'11. Lists'!$F$36:$H$38,2,FALSE))</f>
        <v/>
      </c>
      <c r="AD56" s="211" t="str">
        <f>IF(AB56="","",VLOOKUP(AB56,'11. Lists'!$F$36:$H$38,3,FALSE))</f>
        <v/>
      </c>
      <c r="AE56" s="214"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295" t="str">
        <f>IF(AE56="","",VLOOKUP(AE56,'11. Lists'!$I$47:$K$80,3,FALSE))</f>
        <v/>
      </c>
      <c r="AG56" s="214" t="str">
        <f>IF(D56="","",VLOOKUP(D56,'9. All Habitats + Multipliers'!$C$4:$K$102,7,FALSE))</f>
        <v/>
      </c>
      <c r="AH56" s="211" t="str">
        <f>IF(AG56="","",VLOOKUP(AG56,'11. Lists'!$J$35:$K$38,2,FALSE))</f>
        <v/>
      </c>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ht="14.25" customHeight="1">
      <c r="A57" s="1"/>
      <c r="B57" s="221">
        <v>19.0</v>
      </c>
      <c r="C57" s="509" t="s">
        <v>253</v>
      </c>
      <c r="D57" s="285"/>
      <c r="E57" s="527" t="str">
        <f>IF(D57="","",VLOOKUP(D57,'10. Condition and Temporal'!$B$6:$D$103,3,FALSE))</f>
        <v/>
      </c>
      <c r="F57" s="530"/>
      <c r="G57" s="43"/>
      <c r="H57" s="298"/>
      <c r="I57" s="289"/>
      <c r="J57" s="31"/>
      <c r="K57" s="31"/>
      <c r="L57" s="531" t="str">
        <f t="shared" si="9"/>
        <v/>
      </c>
      <c r="M57" s="42"/>
      <c r="N57" s="43"/>
      <c r="O57" s="378"/>
      <c r="P57" s="300"/>
      <c r="Q57" s="1"/>
      <c r="R57" s="161"/>
      <c r="S57" s="1"/>
      <c r="T57" s="210" t="str">
        <f>IF(D57="","",VLOOKUP(D57,'9. All Habitats + Multipliers'!$C$4:$K$102,5,FALSE))</f>
        <v/>
      </c>
      <c r="U57" s="47"/>
      <c r="V57" s="381" t="str">
        <f>IF(T57="","",VLOOKUP(T57,'11. Lists'!$S$47:$U$50,2,FALSE))</f>
        <v/>
      </c>
      <c r="W57" s="214" t="str">
        <f t="shared" si="10"/>
        <v/>
      </c>
      <c r="X57" s="211" t="str">
        <f>IF(W57="","",VLOOKUP(W57,'11. Lists'!$F$47:$G$51,2,FALSE))</f>
        <v/>
      </c>
      <c r="Y57" s="213"/>
      <c r="Z57" s="213"/>
      <c r="AA57" s="213"/>
      <c r="AB57" s="212" t="str">
        <f t="shared" si="11"/>
        <v/>
      </c>
      <c r="AC57" s="215" t="str">
        <f>IF(AB57="","",VLOOKUP(AB57,'11. Lists'!$F$36:$H$38,2,FALSE))</f>
        <v/>
      </c>
      <c r="AD57" s="211" t="str">
        <f>IF(AB57="","",VLOOKUP(AB57,'11. Lists'!$F$36:$H$38,3,FALSE))</f>
        <v/>
      </c>
      <c r="AE57" s="214"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295" t="str">
        <f>IF(AE57="","",VLOOKUP(AE57,'11. Lists'!$I$47:$K$80,3,FALSE))</f>
        <v/>
      </c>
      <c r="AG57" s="214" t="str">
        <f>IF(D57="","",VLOOKUP(D57,'9. All Habitats + Multipliers'!$C$4:$K$102,7,FALSE))</f>
        <v/>
      </c>
      <c r="AH57" s="211" t="str">
        <f>IF(AG57="","",VLOOKUP(AG57,'11. Lists'!$J$35:$K$38,2,FALSE))</f>
        <v/>
      </c>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ht="14.25" customHeight="1">
      <c r="A58" s="1"/>
      <c r="B58" s="231">
        <v>20.0</v>
      </c>
      <c r="C58" s="510" t="s">
        <v>253</v>
      </c>
      <c r="D58" s="532"/>
      <c r="E58" s="533" t="str">
        <f>IF(D58="","",VLOOKUP(D58,'10. Condition and Temporal'!$B$6:$D$103,3,FALSE))</f>
        <v/>
      </c>
      <c r="F58" s="534"/>
      <c r="G58" s="54"/>
      <c r="H58" s="303"/>
      <c r="I58" s="535"/>
      <c r="L58" s="536" t="str">
        <f t="shared" si="9"/>
        <v/>
      </c>
      <c r="M58" s="53"/>
      <c r="N58" s="54"/>
      <c r="O58" s="394"/>
      <c r="P58" s="249"/>
      <c r="Q58" s="1"/>
      <c r="R58" s="161"/>
      <c r="S58" s="1"/>
      <c r="T58" s="210" t="str">
        <f>IF(D58="","",VLOOKUP(D58,'9. All Habitats + Multipliers'!$C$4:$K$102,5,FALSE))</f>
        <v/>
      </c>
      <c r="U58" s="47"/>
      <c r="V58" s="381" t="str">
        <f>IF(T58="","",VLOOKUP(T58,'11. Lists'!$S$47:$U$50,2,FALSE))</f>
        <v/>
      </c>
      <c r="W58" s="253" t="str">
        <f t="shared" si="10"/>
        <v/>
      </c>
      <c r="X58" s="251" t="str">
        <f>IF(W58="","",VLOOKUP(W58,'11. Lists'!$F$47:$G$51,2,FALSE))</f>
        <v/>
      </c>
      <c r="Y58" s="213"/>
      <c r="Z58" s="213"/>
      <c r="AA58" s="213"/>
      <c r="AB58" s="212" t="str">
        <f t="shared" si="11"/>
        <v/>
      </c>
      <c r="AC58" s="215" t="str">
        <f>IF(AB58="","",VLOOKUP(AB58,'11. Lists'!$F$36:$H$38,2,FALSE))</f>
        <v/>
      </c>
      <c r="AD58" s="211" t="str">
        <f>IF(AB58="","",VLOOKUP(AB58,'11. Lists'!$F$36:$H$38,3,FALSE))</f>
        <v/>
      </c>
      <c r="AE58" s="21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295" t="str">
        <f>IF(AE58="","",VLOOKUP(AE58,'11. Lists'!$I$47:$K$80,3,FALSE))</f>
        <v/>
      </c>
      <c r="AG58" s="214" t="str">
        <f>IF(D58="","",VLOOKUP(D58,'9. All Habitats + Multipliers'!$C$4:$K$102,7,FALSE))</f>
        <v/>
      </c>
      <c r="AH58" s="211" t="str">
        <f>IF(AG58="","",VLOOKUP(AG58,'11. Lists'!$J$35:$K$38,2,FALSE))</f>
        <v/>
      </c>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ht="14.25" customHeight="1">
      <c r="A59" s="1"/>
      <c r="B59" s="1"/>
      <c r="C59" s="1"/>
      <c r="D59" s="1"/>
      <c r="E59" s="1"/>
      <c r="F59" s="1"/>
      <c r="G59" s="1"/>
      <c r="H59" s="537" t="s">
        <v>256</v>
      </c>
      <c r="I59" s="317">
        <f>SUM(I39:K58)</f>
        <v>0</v>
      </c>
      <c r="J59" s="241"/>
      <c r="K59" s="239"/>
      <c r="L59" s="538">
        <f>SUM(L39:N58)</f>
        <v>0</v>
      </c>
      <c r="M59" s="539"/>
      <c r="N59" s="393"/>
      <c r="O59" s="1"/>
      <c r="P59" s="1"/>
      <c r="Q59" s="1"/>
      <c r="R59" s="16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ht="14.25" customHeight="1">
      <c r="A60" s="1"/>
      <c r="B60" s="1"/>
      <c r="C60" s="1"/>
      <c r="D60" s="1"/>
      <c r="E60" s="1"/>
      <c r="F60" s="1"/>
      <c r="G60" s="1"/>
      <c r="H60" s="272" t="s">
        <v>125</v>
      </c>
      <c r="I60" s="524" t="str">
        <f>IF(I59&lt;5000,"Lengths Acceptable ✓",IF(I59&gt;=5000,"Length Exceeds Length Appropriate for Small Sites Metric ▲"))</f>
        <v>Lengths Acceptable ✓</v>
      </c>
      <c r="J60" s="53"/>
      <c r="K60" s="53"/>
      <c r="L60" s="53"/>
      <c r="M60" s="53"/>
      <c r="N60" s="54"/>
      <c r="O60" s="1"/>
      <c r="P60" s="1"/>
      <c r="Q60" s="1"/>
      <c r="R60" s="16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row>
    <row r="61" ht="14.25" customHeight="1">
      <c r="A61" s="1"/>
      <c r="B61" s="1"/>
      <c r="C61" s="1"/>
      <c r="D61" s="1"/>
      <c r="E61" s="1"/>
      <c r="F61" s="1"/>
      <c r="G61" s="1"/>
      <c r="H61" s="1"/>
      <c r="I61" s="1"/>
      <c r="J61" s="1"/>
      <c r="K61" s="1"/>
      <c r="L61" s="1"/>
      <c r="M61" s="1"/>
      <c r="N61" s="1"/>
      <c r="O61" s="1"/>
      <c r="P61" s="1"/>
      <c r="Q61" s="1"/>
      <c r="R61" s="16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322" t="s">
        <v>146</v>
      </c>
      <c r="BB61" s="1"/>
      <c r="BC61" s="1"/>
      <c r="BD61" s="1"/>
      <c r="BE61" s="1"/>
      <c r="BF61" s="1"/>
      <c r="BG61" s="1"/>
      <c r="BH61" s="1"/>
      <c r="BI61" s="1"/>
      <c r="BJ61" s="1"/>
      <c r="BK61" s="1"/>
      <c r="BL61" s="1"/>
      <c r="BM61" s="1"/>
      <c r="BN61" s="1"/>
      <c r="BO61" s="1"/>
      <c r="BP61" s="1"/>
      <c r="BQ61" s="1"/>
      <c r="BR61" s="1"/>
      <c r="BS61" s="1"/>
      <c r="BT61" s="1"/>
      <c r="BU61" s="1"/>
      <c r="BV61" s="1"/>
      <c r="BW61" s="1"/>
      <c r="BX61" s="1"/>
    </row>
    <row r="62" ht="14.25" customHeight="1">
      <c r="A62" s="1"/>
      <c r="B62" s="128" t="s">
        <v>147</v>
      </c>
      <c r="C62" s="1"/>
      <c r="D62" s="174"/>
      <c r="E62" s="1"/>
      <c r="F62" s="1"/>
      <c r="G62" s="1"/>
      <c r="H62" s="154"/>
      <c r="I62" s="1"/>
      <c r="J62" s="1"/>
      <c r="K62" s="1"/>
      <c r="L62" s="1"/>
      <c r="M62" s="1"/>
      <c r="N62" s="1"/>
      <c r="O62" s="1"/>
      <c r="P62" s="1"/>
      <c r="Q62" s="1"/>
      <c r="R62" s="20"/>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322" t="s">
        <v>148</v>
      </c>
      <c r="BB62" s="1"/>
      <c r="BC62" s="1"/>
      <c r="BD62" s="1"/>
      <c r="BE62" s="1"/>
      <c r="BF62" s="1"/>
      <c r="BG62" s="1"/>
      <c r="BH62" s="1"/>
      <c r="BI62" s="1"/>
      <c r="BJ62" s="1"/>
      <c r="BK62" s="1"/>
      <c r="BL62" s="1"/>
      <c r="BM62" s="1"/>
      <c r="BN62" s="1"/>
      <c r="BO62" s="1"/>
      <c r="BP62" s="1"/>
      <c r="BQ62" s="1"/>
      <c r="BR62" s="1"/>
      <c r="BS62" s="1"/>
      <c r="BT62" s="1"/>
      <c r="BU62" s="1"/>
      <c r="BV62" s="1"/>
      <c r="BW62" s="1"/>
      <c r="BX62" s="1"/>
    </row>
    <row r="63" ht="14.25" customHeight="1">
      <c r="A63" s="540"/>
      <c r="B63" s="1"/>
      <c r="C63" s="1"/>
      <c r="D63" s="1"/>
      <c r="E63" s="1"/>
      <c r="F63" s="1"/>
      <c r="G63" s="1"/>
      <c r="H63" s="1"/>
      <c r="I63" s="1"/>
      <c r="J63" s="1"/>
      <c r="K63" s="1"/>
      <c r="L63" s="1"/>
      <c r="M63" s="1"/>
      <c r="N63" s="1"/>
      <c r="O63" s="1"/>
      <c r="P63" s="1"/>
      <c r="Q63" s="1"/>
      <c r="R63" s="153"/>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row>
    <row r="64" ht="15.75" customHeight="1">
      <c r="A64" s="161"/>
      <c r="B64" s="323" t="s">
        <v>149</v>
      </c>
      <c r="C64" s="182" t="s">
        <v>150</v>
      </c>
      <c r="D64" s="60"/>
      <c r="E64" s="178" t="s">
        <v>151</v>
      </c>
      <c r="F64" s="179"/>
      <c r="G64" s="60"/>
      <c r="H64" s="185" t="s">
        <v>152</v>
      </c>
      <c r="I64" s="185" t="s">
        <v>259</v>
      </c>
      <c r="J64" s="324" t="s">
        <v>154</v>
      </c>
      <c r="K64" s="27"/>
      <c r="L64" s="328" t="s">
        <v>155</v>
      </c>
      <c r="M64" s="326" t="s">
        <v>156</v>
      </c>
      <c r="N64" s="27"/>
      <c r="O64" s="183" t="s">
        <v>90</v>
      </c>
      <c r="P64" s="60"/>
      <c r="Q64" s="1"/>
      <c r="R64" s="161"/>
      <c r="S64" s="1"/>
      <c r="T64" s="327" t="s">
        <v>157</v>
      </c>
      <c r="U64" s="241"/>
      <c r="V64" s="241"/>
      <c r="W64" s="241"/>
      <c r="X64" s="241"/>
      <c r="Y64" s="241"/>
      <c r="Z64" s="241"/>
      <c r="AA64" s="241"/>
      <c r="AB64" s="241"/>
      <c r="AC64" s="241"/>
      <c r="AD64" s="239"/>
      <c r="AE64" s="185" t="s">
        <v>158</v>
      </c>
      <c r="AF64" s="327" t="s">
        <v>159</v>
      </c>
      <c r="AG64" s="241"/>
      <c r="AH64" s="241"/>
      <c r="AI64" s="241"/>
      <c r="AJ64" s="241"/>
      <c r="AK64" s="241"/>
      <c r="AL64" s="241"/>
      <c r="AM64" s="241"/>
      <c r="AN64" s="241"/>
      <c r="AO64" s="241"/>
      <c r="AP64" s="239"/>
      <c r="AQ64" s="541" t="s">
        <v>160</v>
      </c>
      <c r="AR64" s="327" t="s">
        <v>159</v>
      </c>
      <c r="AS64" s="241"/>
      <c r="AT64" s="241"/>
      <c r="AU64" s="241"/>
      <c r="AV64" s="241"/>
      <c r="AW64" s="241"/>
      <c r="AX64" s="239"/>
      <c r="AY64" s="1"/>
      <c r="AZ64" s="1"/>
      <c r="BA64" s="151" t="s">
        <v>161</v>
      </c>
      <c r="BB64" s="330">
        <f t="shared" ref="BB64:BU64" si="12">COUNTIF(BB66:BB85,"?*")</f>
        <v>0</v>
      </c>
      <c r="BC64" s="330">
        <f t="shared" si="12"/>
        <v>0</v>
      </c>
      <c r="BD64" s="330">
        <f t="shared" si="12"/>
        <v>0</v>
      </c>
      <c r="BE64" s="330">
        <f t="shared" si="12"/>
        <v>0</v>
      </c>
      <c r="BF64" s="330">
        <f t="shared" si="12"/>
        <v>0</v>
      </c>
      <c r="BG64" s="330">
        <f t="shared" si="12"/>
        <v>0</v>
      </c>
      <c r="BH64" s="330">
        <f t="shared" si="12"/>
        <v>0</v>
      </c>
      <c r="BI64" s="330">
        <f t="shared" si="12"/>
        <v>0</v>
      </c>
      <c r="BJ64" s="330">
        <f t="shared" si="12"/>
        <v>0</v>
      </c>
      <c r="BK64" s="330">
        <f t="shared" si="12"/>
        <v>0</v>
      </c>
      <c r="BL64" s="330">
        <f t="shared" si="12"/>
        <v>0</v>
      </c>
      <c r="BM64" s="330">
        <f t="shared" si="12"/>
        <v>0</v>
      </c>
      <c r="BN64" s="330">
        <f t="shared" si="12"/>
        <v>0</v>
      </c>
      <c r="BO64" s="330">
        <f t="shared" si="12"/>
        <v>0</v>
      </c>
      <c r="BP64" s="330">
        <f t="shared" si="12"/>
        <v>0</v>
      </c>
      <c r="BQ64" s="330">
        <f t="shared" si="12"/>
        <v>0</v>
      </c>
      <c r="BR64" s="330">
        <f t="shared" si="12"/>
        <v>0</v>
      </c>
      <c r="BS64" s="330">
        <f t="shared" si="12"/>
        <v>0</v>
      </c>
      <c r="BT64" s="330">
        <f t="shared" si="12"/>
        <v>0</v>
      </c>
      <c r="BU64" s="330">
        <f t="shared" si="12"/>
        <v>0</v>
      </c>
      <c r="BV64" s="1"/>
      <c r="BW64" s="1"/>
      <c r="BX64" s="1"/>
    </row>
    <row r="65" ht="41.25" customHeight="1">
      <c r="A65" s="20"/>
      <c r="B65" s="79"/>
      <c r="C65" s="331" t="s">
        <v>162</v>
      </c>
      <c r="D65" s="190" t="s">
        <v>163</v>
      </c>
      <c r="E65" s="168" t="s">
        <v>164</v>
      </c>
      <c r="F65" s="280" t="s">
        <v>165</v>
      </c>
      <c r="G65" s="54"/>
      <c r="H65" s="79"/>
      <c r="I65" s="79"/>
      <c r="J65" s="170"/>
      <c r="K65" s="172"/>
      <c r="L65" s="344"/>
      <c r="M65" s="332"/>
      <c r="N65" s="172"/>
      <c r="O65" s="333" t="s">
        <v>105</v>
      </c>
      <c r="P65" s="190" t="s">
        <v>106</v>
      </c>
      <c r="Q65" s="1"/>
      <c r="R65" s="161"/>
      <c r="S65" s="1"/>
      <c r="T65" s="334" t="s">
        <v>166</v>
      </c>
      <c r="U65" s="335" t="s">
        <v>167</v>
      </c>
      <c r="V65" s="336" t="s">
        <v>168</v>
      </c>
      <c r="W65" s="335" t="s">
        <v>169</v>
      </c>
      <c r="X65" s="542" t="s">
        <v>170</v>
      </c>
      <c r="Y65" s="339"/>
      <c r="Z65" s="339"/>
      <c r="AA65" s="339"/>
      <c r="AB65" s="542" t="s">
        <v>171</v>
      </c>
      <c r="AC65" s="543" t="s">
        <v>172</v>
      </c>
      <c r="AD65" s="336" t="s">
        <v>173</v>
      </c>
      <c r="AE65" s="79"/>
      <c r="AF65" s="340" t="s">
        <v>166</v>
      </c>
      <c r="AG65" s="335" t="s">
        <v>107</v>
      </c>
      <c r="AH65" s="336" t="s">
        <v>108</v>
      </c>
      <c r="AI65" s="340" t="s">
        <v>109</v>
      </c>
      <c r="AJ65" s="544" t="s">
        <v>108</v>
      </c>
      <c r="AK65" s="545"/>
      <c r="AL65" s="545"/>
      <c r="AM65" s="545"/>
      <c r="AN65" s="546" t="s">
        <v>93</v>
      </c>
      <c r="AO65" s="345" t="s">
        <v>93</v>
      </c>
      <c r="AP65" s="336" t="s">
        <v>110</v>
      </c>
      <c r="AQ65" s="281"/>
      <c r="AR65" s="336" t="s">
        <v>174</v>
      </c>
      <c r="AS65" s="335" t="s">
        <v>175</v>
      </c>
      <c r="AT65" s="336" t="s">
        <v>176</v>
      </c>
      <c r="AU65" s="345" t="s">
        <v>177</v>
      </c>
      <c r="AV65" s="336" t="s">
        <v>178</v>
      </c>
      <c r="AW65" s="547" t="s">
        <v>179</v>
      </c>
      <c r="AX65" s="548" t="s">
        <v>180</v>
      </c>
      <c r="AY65" s="1"/>
      <c r="AZ65" s="1"/>
      <c r="BA65" s="160" t="s">
        <v>260</v>
      </c>
      <c r="BB65" s="349">
        <v>1.0</v>
      </c>
      <c r="BC65" s="349">
        <v>2.0</v>
      </c>
      <c r="BD65" s="349">
        <v>3.0</v>
      </c>
      <c r="BE65" s="349">
        <v>4.0</v>
      </c>
      <c r="BF65" s="349">
        <v>5.0</v>
      </c>
      <c r="BG65" s="349">
        <v>6.0</v>
      </c>
      <c r="BH65" s="349">
        <v>7.0</v>
      </c>
      <c r="BI65" s="349">
        <v>8.0</v>
      </c>
      <c r="BJ65" s="349">
        <v>9.0</v>
      </c>
      <c r="BK65" s="349">
        <v>10.0</v>
      </c>
      <c r="BL65" s="349">
        <v>11.0</v>
      </c>
      <c r="BM65" s="349">
        <v>12.0</v>
      </c>
      <c r="BN65" s="349">
        <v>13.0</v>
      </c>
      <c r="BO65" s="349">
        <v>14.0</v>
      </c>
      <c r="BP65" s="349">
        <v>15.0</v>
      </c>
      <c r="BQ65" s="349">
        <v>16.0</v>
      </c>
      <c r="BR65" s="349">
        <v>17.0</v>
      </c>
      <c r="BS65" s="349">
        <v>18.0</v>
      </c>
      <c r="BT65" s="349">
        <v>19.0</v>
      </c>
      <c r="BU65" s="349">
        <v>20.0</v>
      </c>
      <c r="BV65" s="350" t="s">
        <v>183</v>
      </c>
      <c r="BW65" s="349" t="s">
        <v>184</v>
      </c>
      <c r="BX65" s="349" t="s">
        <v>185</v>
      </c>
    </row>
    <row r="66" ht="14.25" customHeight="1">
      <c r="A66" s="1"/>
      <c r="B66" s="492">
        <v>1.0</v>
      </c>
      <c r="C66" s="549" t="str">
        <f t="shared" ref="C66:C85" si="14">IF(D66="","",C11)</f>
        <v/>
      </c>
      <c r="D66" s="550" t="str">
        <f t="shared" ref="D66:D85" si="15">IF(OR(K11="", K11=0),"",D11)</f>
        <v/>
      </c>
      <c r="E66" s="551" t="str">
        <f t="shared" ref="E66:E85" si="16">IF(AX66="","",AX66)</f>
        <v/>
      </c>
      <c r="F66" s="494"/>
      <c r="G66" s="60"/>
      <c r="H66" s="552" t="str">
        <f t="shared" ref="H66:H85" si="17">IF(D66="","",AB66)</f>
        <v/>
      </c>
      <c r="I66" s="553" t="str">
        <f t="shared" ref="I66:I85" si="18">IF(OR(K11="", K11=0),"",K11)</f>
        <v/>
      </c>
      <c r="J66" s="554" t="str">
        <f>IFERROR(IF(F66="","",VLOOKUP(F66,'10. Condition and Temporal'!$B$6:$F$103,5,FALSE)), "Error ▲")</f>
        <v/>
      </c>
      <c r="K66" s="60"/>
      <c r="L66" s="499" t="str">
        <f t="shared" ref="L66:L85" si="19">IFERROR(IF(D66="","",IF(AX66="Distinctiveness",(((((I66*AH66*AJ66)-(I66*V66*X66))*(AV66*AT66))+(I66*V66*X66))*AP66/1000),((((I66*AH66*AJ66)-(I66*V66*X66))*(AV66*AR66))+(I66*V66*X66))*AP66/1000)),"This intervention is not permitted within the SSM ▲")</f>
        <v/>
      </c>
      <c r="M66" s="555" t="str">
        <f t="shared" ref="M66:M85" si="20">IFERROR(IF(F66="","",L66-AD66), "Error ▲")</f>
        <v/>
      </c>
      <c r="N66" s="60"/>
      <c r="O66" s="556"/>
      <c r="P66" s="557"/>
      <c r="Q66" s="1"/>
      <c r="R66" s="161"/>
      <c r="S66" s="1"/>
      <c r="T66" s="361" t="str">
        <f t="shared" ref="T66:T85" si="21">IF(D66="","",K11)</f>
        <v/>
      </c>
      <c r="U66" s="379" t="str">
        <f t="shared" ref="U66:U85" si="22">IF($D66="","",T11)</f>
        <v/>
      </c>
      <c r="V66" s="380" t="str">
        <f t="shared" ref="V66:X66" si="13">IF($D66="","",V11)</f>
        <v/>
      </c>
      <c r="W66" s="379" t="str">
        <f t="shared" si="13"/>
        <v/>
      </c>
      <c r="X66" s="215" t="str">
        <f t="shared" si="13"/>
        <v/>
      </c>
      <c r="Y66" s="365"/>
      <c r="Z66" s="365"/>
      <c r="AA66" s="365"/>
      <c r="AB66" s="215" t="str">
        <f t="shared" ref="AB66:AB85" si="24">IF($D66="","",AB11)</f>
        <v/>
      </c>
      <c r="AC66" s="558" t="str">
        <f t="shared" ref="AC66:AC85" si="25">IF($D66="","",AD11)</f>
        <v/>
      </c>
      <c r="AD66" s="380" t="str">
        <f t="shared" ref="AD66:AD85" si="26">IF(AC66="","",(T66*V66*X66)*AC66/1000)</f>
        <v/>
      </c>
      <c r="AE66" s="559" t="str">
        <f t="shared" ref="AE66:AE85" si="27">IF(AD66="","",IF(AH66&lt;V66,"Not Acceptable","Acceptable"))</f>
        <v/>
      </c>
      <c r="AF66" s="560" t="str">
        <f t="shared" ref="AF66:AF85" si="28">IF(D66="","",I66)</f>
        <v/>
      </c>
      <c r="AG66" s="379" t="str">
        <f>IF(D66="","",VLOOKUP(F66,'9. All Habitats + Multipliers'!$C$4:$K$102,5,FALSE))</f>
        <v/>
      </c>
      <c r="AH66" s="380" t="str">
        <f>IF(AG66="","",VLOOKUP(AG66,'11. Lists'!$S$47:$U$50,2,FALSE))</f>
        <v/>
      </c>
      <c r="AI66" s="560" t="str">
        <f t="shared" ref="AI66:AI85" si="29">IF(D66="","",J66)</f>
        <v/>
      </c>
      <c r="AJ66" s="214" t="str">
        <f>IF(AI66="","",VLOOKUP(AI66,'11. Lists'!$F$47:$G$51,2,FALSE))</f>
        <v/>
      </c>
      <c r="AK66" s="365"/>
      <c r="AL66" s="365"/>
      <c r="AM66" s="365"/>
      <c r="AN66" s="211" t="str">
        <f t="shared" ref="AN66:AN85" si="30">IF(H66="","",H66)</f>
        <v/>
      </c>
      <c r="AO66" s="561" t="str">
        <f>IF(AN66="","",VLOOKUP(AN66,'11. Lists'!$F$36:$H$38,2,FALSE))</f>
        <v/>
      </c>
      <c r="AP66" s="380" t="str">
        <f>IF(AN66="","",VLOOKUP(AN66,'11. Lists'!$F$36:$H$38,3,FALSE))</f>
        <v/>
      </c>
      <c r="AQ66" s="379" t="str">
        <f>IF(D66="","",IF(AX66="Distinctiveness","N/A",VLOOKUP(F66,'10. Condition and Temporal'!$B$6:$L$103,11,FALSE)))</f>
        <v/>
      </c>
      <c r="AR66" s="382" t="str">
        <f>IF(AQ66="","",IF(AQ66="N/A","1",VLOOKUP(AQ66,'11. Lists'!$I$47:$K$80,3,FALSE)))</f>
        <v/>
      </c>
      <c r="AS66" s="562" t="str">
        <f>IF(D66="","",IF(AX66="Condition","N/A",VLOOKUP(F66,'10. Condition and Temporal'!$B$6:$M$106,12,FALSE)))</f>
        <v/>
      </c>
      <c r="AT66" s="382" t="str">
        <f>IF(AS66="","",IF(AS66="N/A","1",VLOOKUP(AS66,'11. Lists'!$I$47:$K$80,3,FALSE)))</f>
        <v/>
      </c>
      <c r="AU66" s="561" t="str">
        <f>IF(D66="","",VLOOKUP(F66,'9. All Habitats + Multipliers'!$C$4:$K$102,8,FALSE))</f>
        <v/>
      </c>
      <c r="AV66" s="380" t="str">
        <f>IF(AU66="","",VLOOKUP(AU66,'11. Lists'!$J$35:$K$38,2,FALSE))</f>
        <v/>
      </c>
      <c r="AW66" s="379" t="str">
        <f>IF(D66="","",VLOOKUP(D66,'10. Condition and Temporal'!$B$6:$M$103,4,FALSE))</f>
        <v/>
      </c>
      <c r="AX66" s="380" t="str">
        <f t="shared" ref="AX66:AX85" si="31">IF(F66="","",IF(D66=F66,"Condition","Distinctiveness"))</f>
        <v/>
      </c>
      <c r="AY66" s="1"/>
      <c r="AZ66" s="563"/>
      <c r="BA66" s="214">
        <v>1.0</v>
      </c>
      <c r="BB66" s="215" t="str">
        <f t="shared" ref="BB66:BB85" si="32">TRIM(MID(SUBSTITUTE($AW$66,$BA$62,REPT(" ",LEN($AW$66))),($BA66-1)*LEN($AW$66)+1,LEN($AW$66)))</f>
        <v/>
      </c>
      <c r="BC66" s="215" t="str">
        <f t="shared" ref="BC66:BC85" si="33">TRIM(MID(SUBSTITUTE($AW$67,$BA$62,REPT(" ",LEN($AW$67))),($BA66-1)*LEN($AW$67)+1,LEN($AW$67)))</f>
        <v/>
      </c>
      <c r="BD66" s="215" t="str">
        <f t="shared" ref="BD66:BD85" si="34">TRIM(MID(SUBSTITUTE($AW$68,$BA$62,REPT(" ",LEN($AW$68))),($BA66-1)*LEN($AW$68)+1,LEN($AW$68)))</f>
        <v/>
      </c>
      <c r="BE66" s="215" t="str">
        <f t="shared" ref="BE66:BE85" si="35">TRIM(MID(SUBSTITUTE($AW$69,$BA$62,REPT(" ",LEN($AW$69))),($BA66-1)*LEN($AW$69)+1,LEN($AW$69)))</f>
        <v/>
      </c>
      <c r="BF66" s="215" t="str">
        <f t="shared" ref="BF66:BF85" si="36">TRIM(MID(SUBSTITUTE($AW$70,$BA$62,REPT(" ",LEN($AW$70))),($BA66-1)*LEN($AW$70)+1,LEN($AW$70)))</f>
        <v/>
      </c>
      <c r="BG66" s="215" t="str">
        <f t="shared" ref="BG66:BG85" si="37">TRIM(MID(SUBSTITUTE($AW$71,$BA$62,REPT(" ",LEN($AW$71))),($BA66-1)*LEN($AW$71)+1,LEN($AW$71)))</f>
        <v/>
      </c>
      <c r="BH66" s="215" t="str">
        <f t="shared" ref="BH66:BH85" si="38">TRIM(MID(SUBSTITUTE($AW$72,$BA$62,REPT(" ",LEN($AW$72))),($BA66-1)*LEN($AW$72)+1,LEN($AW$72)))</f>
        <v/>
      </c>
      <c r="BI66" s="215" t="str">
        <f t="shared" ref="BI66:BI85" si="39">TRIM(MID(SUBSTITUTE($AW$73,$BA$62,REPT(" ",LEN($AW$73))),($BA66-1)*LEN($AW$73)+1,LEN($AW$73)))</f>
        <v/>
      </c>
      <c r="BJ66" s="215" t="str">
        <f t="shared" ref="BJ66:BJ85" si="40">TRIM(MID(SUBSTITUTE($AW$74,$BA$62,REPT(" ",LEN($AW$74))),($BA66-1)*LEN($AW$74)+1,LEN($AW$74)))</f>
        <v/>
      </c>
      <c r="BK66" s="215" t="str">
        <f t="shared" ref="BK66:BK85" si="41">TRIM(MID(SUBSTITUTE($AW$75,$BA$62,REPT(" ",LEN($AW$75))),($BA66-1)*LEN($AW$75)+1,LEN($AW$75)))</f>
        <v/>
      </c>
      <c r="BL66" s="215" t="str">
        <f t="shared" ref="BL66:BL85" si="42">TRIM(MID(SUBSTITUTE($AW$76,$BA$62,REPT(" ",LEN($AW$76))),($BA66-1)*LEN($AW$76)+1,LEN($AW$76)))</f>
        <v/>
      </c>
      <c r="BM66" s="215" t="str">
        <f t="shared" ref="BM66:BM85" si="43">TRIM(MID(SUBSTITUTE($AW$77,$BA$62,REPT(" ",LEN($AW$77))),($BA66-1)*LEN($AW$77)+1,LEN($AW$77)))</f>
        <v/>
      </c>
      <c r="BN66" s="215" t="str">
        <f t="shared" ref="BN66:BN85" si="44">TRIM(MID(SUBSTITUTE($AW$78,$BA$62,REPT(" ",LEN($AW$78))),($BA66-1)*LEN($AW$78)+1,LEN($AW$78)))</f>
        <v/>
      </c>
      <c r="BO66" s="215" t="str">
        <f t="shared" ref="BO66:BO85" si="45">TRIM(MID(SUBSTITUTE($AW$79,$BA$62,REPT(" ",LEN($AW$79))),($BA66-1)*LEN($AW$79)+1,LEN($AW$79)))</f>
        <v/>
      </c>
      <c r="BP66" s="215" t="str">
        <f t="shared" ref="BP66:BP85" si="46">TRIM(MID(SUBSTITUTE($AW$80,$BA$62,REPT(" ",LEN($AW$80))),($BA66-1)*LEN($AW$80)+1,LEN($AW$80)))</f>
        <v/>
      </c>
      <c r="BQ66" s="215" t="str">
        <f t="shared" ref="BQ66:BQ85" si="47">TRIM(MID(SUBSTITUTE($AW$81,$BA$62,REPT(" ",LEN($AW$81))),($BA66-1)*LEN($AW$81)+1,LEN($AW$81)))</f>
        <v/>
      </c>
      <c r="BR66" s="215" t="str">
        <f t="shared" ref="BR66:BR85" si="48">TRIM(MID(SUBSTITUTE($AW$82,$BA$62,REPT(" ",LEN($AW$82))),($BA66-1)*LEN($AW$82)+1,LEN($AW$82)))</f>
        <v/>
      </c>
      <c r="BS66" s="215" t="str">
        <f t="shared" ref="BS66:BS85" si="49">TRIM(MID(SUBSTITUTE($AW$83,$BA$62,REPT(" ",LEN($AW$83))),($BA66-1)*LEN($AW$83)+1,LEN($AW$83)))</f>
        <v/>
      </c>
      <c r="BT66" s="215" t="str">
        <f t="shared" ref="BT66:BT85" si="50">TRIM(MID(SUBSTITUTE($AW$84,$BA$62,REPT(" ",LEN($AW$84))),($BA66-1)*LEN($AW$84)+1,LEN($AW$84)))</f>
        <v/>
      </c>
      <c r="BU66" s="211" t="str">
        <f t="shared" ref="BU66:BU85" si="51">TRIM(MID(SUBSTITUTE($AW$85,$BA$62,REPT(" ",LEN($AW$85))),($BA66-1)*LEN($AW$85)+1,LEN($AW$85)))</f>
        <v/>
      </c>
      <c r="BV66" s="212" t="str">
        <f t="shared" ref="BV66:BV85" si="52">IF(BX66=0,"",CONCATENATE(BW66,"66:",BW66,BX66+65))</f>
        <v/>
      </c>
      <c r="BW66" s="215" t="s">
        <v>186</v>
      </c>
      <c r="BX66" s="215">
        <f>BB64</f>
        <v>0</v>
      </c>
    </row>
    <row r="67" ht="14.25" customHeight="1">
      <c r="A67" s="1"/>
      <c r="B67" s="221">
        <v>2.0</v>
      </c>
      <c r="C67" s="376" t="str">
        <f t="shared" si="14"/>
        <v/>
      </c>
      <c r="D67" s="352" t="str">
        <f t="shared" si="15"/>
        <v/>
      </c>
      <c r="E67" s="377" t="str">
        <f t="shared" si="16"/>
        <v/>
      </c>
      <c r="F67" s="222"/>
      <c r="G67" s="43"/>
      <c r="H67" s="354" t="str">
        <f t="shared" si="17"/>
        <v/>
      </c>
      <c r="I67" s="564" t="str">
        <f t="shared" si="18"/>
        <v/>
      </c>
      <c r="J67" s="565" t="str">
        <f>IFERROR(IF(F67="","",VLOOKUP(F67,'10. Condition and Temporal'!$B$6:$F$103,5,FALSE)), "Error ▲")</f>
        <v/>
      </c>
      <c r="K67" s="359"/>
      <c r="L67" s="357" t="str">
        <f t="shared" si="19"/>
        <v/>
      </c>
      <c r="M67" s="358" t="str">
        <f t="shared" si="20"/>
        <v/>
      </c>
      <c r="N67" s="359"/>
      <c r="O67" s="378"/>
      <c r="P67" s="300"/>
      <c r="Q67" s="1"/>
      <c r="R67" s="161"/>
      <c r="S67" s="1"/>
      <c r="T67" s="361" t="str">
        <f t="shared" si="21"/>
        <v/>
      </c>
      <c r="U67" s="379" t="str">
        <f t="shared" si="22"/>
        <v/>
      </c>
      <c r="V67" s="380" t="str">
        <f t="shared" ref="V67:X67" si="23">IF($D67="","",V12)</f>
        <v/>
      </c>
      <c r="W67" s="379" t="str">
        <f t="shared" si="23"/>
        <v/>
      </c>
      <c r="X67" s="215" t="str">
        <f t="shared" si="23"/>
        <v/>
      </c>
      <c r="Y67" s="365"/>
      <c r="Z67" s="365"/>
      <c r="AA67" s="365"/>
      <c r="AB67" s="215" t="str">
        <f t="shared" si="24"/>
        <v/>
      </c>
      <c r="AC67" s="558" t="str">
        <f t="shared" si="25"/>
        <v/>
      </c>
      <c r="AD67" s="380" t="str">
        <f t="shared" si="26"/>
        <v/>
      </c>
      <c r="AE67" s="559" t="str">
        <f t="shared" si="27"/>
        <v/>
      </c>
      <c r="AF67" s="560" t="str">
        <f t="shared" si="28"/>
        <v/>
      </c>
      <c r="AG67" s="379" t="str">
        <f>IF(D67="","",VLOOKUP(F67,'9. All Habitats + Multipliers'!$C$4:$K$102,5,FALSE))</f>
        <v/>
      </c>
      <c r="AH67" s="380" t="str">
        <f>IF(AG67="","",VLOOKUP(AG67,'11. Lists'!$S$47:$U$50,2,FALSE))</f>
        <v/>
      </c>
      <c r="AI67" s="560" t="str">
        <f t="shared" si="29"/>
        <v/>
      </c>
      <c r="AJ67" s="214" t="str">
        <f>IF(AI67="","",VLOOKUP(AI67,'11. Lists'!$F$47:$G$51,2,FALSE))</f>
        <v/>
      </c>
      <c r="AK67" s="365"/>
      <c r="AL67" s="365"/>
      <c r="AM67" s="365"/>
      <c r="AN67" s="211" t="str">
        <f t="shared" si="30"/>
        <v/>
      </c>
      <c r="AO67" s="561" t="str">
        <f>IF(AN67="","",VLOOKUP(AN67,'11. Lists'!$F$36:$H$38,2,FALSE))</f>
        <v/>
      </c>
      <c r="AP67" s="380" t="str">
        <f>IF(AN67="","",VLOOKUP(AN67,'11. Lists'!$F$36:$H$38,3,FALSE))</f>
        <v/>
      </c>
      <c r="AQ67" s="379" t="str">
        <f>IF(D67="","",IF(AX67="Distinctiveness","N/A",VLOOKUP(F67,'10. Condition and Temporal'!$B$6:$L$103,11,FALSE)))</f>
        <v/>
      </c>
      <c r="AR67" s="382" t="str">
        <f>IF(AQ67="","",IF(AQ67="N/A","1",VLOOKUP(AQ67,'11. Lists'!$I$47:$K$80,3,FALSE)))</f>
        <v/>
      </c>
      <c r="AS67" s="562" t="str">
        <f>IF(D67="","",IF(AX67="Condition","N/A",VLOOKUP(F67,'10. Condition and Temporal'!$B$6:$M$106,12,FALSE)))</f>
        <v/>
      </c>
      <c r="AT67" s="382" t="str">
        <f>IF(AS67="","",IF(AS67="N/A","1",VLOOKUP(AS67,'11. Lists'!$I$47:$K$80,3,FALSE)))</f>
        <v/>
      </c>
      <c r="AU67" s="561" t="str">
        <f>IF(D67="","",VLOOKUP(F67,'9. All Habitats + Multipliers'!$C$4:$K$102,8,FALSE))</f>
        <v/>
      </c>
      <c r="AV67" s="380" t="str">
        <f>IF(AU67="","",VLOOKUP(AU67,'11. Lists'!$J$35:$K$38,2,FALSE))</f>
        <v/>
      </c>
      <c r="AW67" s="379" t="str">
        <f>IF(D67="","",VLOOKUP(D67,'10. Condition and Temporal'!$B$6:$M$103,4,FALSE))</f>
        <v/>
      </c>
      <c r="AX67" s="380" t="str">
        <f t="shared" si="31"/>
        <v/>
      </c>
      <c r="AY67" s="1"/>
      <c r="AZ67" s="563"/>
      <c r="BA67" s="214">
        <v>2.0</v>
      </c>
      <c r="BB67" s="215" t="str">
        <f t="shared" si="32"/>
        <v/>
      </c>
      <c r="BC67" s="215" t="str">
        <f t="shared" si="33"/>
        <v/>
      </c>
      <c r="BD67" s="215" t="str">
        <f t="shared" si="34"/>
        <v/>
      </c>
      <c r="BE67" s="215" t="str">
        <f t="shared" si="35"/>
        <v/>
      </c>
      <c r="BF67" s="215" t="str">
        <f t="shared" si="36"/>
        <v/>
      </c>
      <c r="BG67" s="215" t="str">
        <f t="shared" si="37"/>
        <v/>
      </c>
      <c r="BH67" s="215" t="str">
        <f t="shared" si="38"/>
        <v/>
      </c>
      <c r="BI67" s="215" t="str">
        <f t="shared" si="39"/>
        <v/>
      </c>
      <c r="BJ67" s="215" t="str">
        <f t="shared" si="40"/>
        <v/>
      </c>
      <c r="BK67" s="215" t="str">
        <f t="shared" si="41"/>
        <v/>
      </c>
      <c r="BL67" s="215" t="str">
        <f t="shared" si="42"/>
        <v/>
      </c>
      <c r="BM67" s="215" t="str">
        <f t="shared" si="43"/>
        <v/>
      </c>
      <c r="BN67" s="215" t="str">
        <f t="shared" si="44"/>
        <v/>
      </c>
      <c r="BO67" s="215" t="str">
        <f t="shared" si="45"/>
        <v/>
      </c>
      <c r="BP67" s="215" t="str">
        <f t="shared" si="46"/>
        <v/>
      </c>
      <c r="BQ67" s="215" t="str">
        <f t="shared" si="47"/>
        <v/>
      </c>
      <c r="BR67" s="215" t="str">
        <f t="shared" si="48"/>
        <v/>
      </c>
      <c r="BS67" s="215" t="str">
        <f t="shared" si="49"/>
        <v/>
      </c>
      <c r="BT67" s="215" t="str">
        <f t="shared" si="50"/>
        <v/>
      </c>
      <c r="BU67" s="211" t="str">
        <f t="shared" si="51"/>
        <v/>
      </c>
      <c r="BV67" s="212" t="str">
        <f t="shared" si="52"/>
        <v/>
      </c>
      <c r="BW67" s="215" t="s">
        <v>187</v>
      </c>
      <c r="BX67" s="215">
        <f>BC64</f>
        <v>0</v>
      </c>
    </row>
    <row r="68" ht="14.25" customHeight="1">
      <c r="A68" s="1"/>
      <c r="B68" s="221">
        <v>3.0</v>
      </c>
      <c r="C68" s="376" t="str">
        <f t="shared" si="14"/>
        <v/>
      </c>
      <c r="D68" s="352" t="str">
        <f t="shared" si="15"/>
        <v/>
      </c>
      <c r="E68" s="377" t="str">
        <f t="shared" si="16"/>
        <v/>
      </c>
      <c r="F68" s="222"/>
      <c r="G68" s="43"/>
      <c r="H68" s="354" t="str">
        <f t="shared" si="17"/>
        <v/>
      </c>
      <c r="I68" s="564" t="str">
        <f t="shared" si="18"/>
        <v/>
      </c>
      <c r="J68" s="565" t="str">
        <f>IFERROR(IF(F68="","",VLOOKUP(F68,'10. Condition and Temporal'!$B$6:$F$103,5,FALSE)), "Error ▲")</f>
        <v/>
      </c>
      <c r="K68" s="359"/>
      <c r="L68" s="357" t="str">
        <f t="shared" si="19"/>
        <v/>
      </c>
      <c r="M68" s="358" t="str">
        <f t="shared" si="20"/>
        <v/>
      </c>
      <c r="N68" s="359"/>
      <c r="O68" s="378"/>
      <c r="P68" s="300"/>
      <c r="Q68" s="1"/>
      <c r="R68" s="161"/>
      <c r="S68" s="1"/>
      <c r="T68" s="361" t="str">
        <f t="shared" si="21"/>
        <v/>
      </c>
      <c r="U68" s="379" t="str">
        <f t="shared" si="22"/>
        <v/>
      </c>
      <c r="V68" s="380" t="str">
        <f t="shared" ref="V68:X68" si="53">IF($D68="","",V13)</f>
        <v/>
      </c>
      <c r="W68" s="379" t="str">
        <f t="shared" si="53"/>
        <v/>
      </c>
      <c r="X68" s="215" t="str">
        <f t="shared" si="53"/>
        <v/>
      </c>
      <c r="Y68" s="365"/>
      <c r="Z68" s="365"/>
      <c r="AA68" s="365"/>
      <c r="AB68" s="215" t="str">
        <f t="shared" si="24"/>
        <v/>
      </c>
      <c r="AC68" s="558" t="str">
        <f t="shared" si="25"/>
        <v/>
      </c>
      <c r="AD68" s="380" t="str">
        <f t="shared" si="26"/>
        <v/>
      </c>
      <c r="AE68" s="559" t="str">
        <f t="shared" si="27"/>
        <v/>
      </c>
      <c r="AF68" s="560" t="str">
        <f t="shared" si="28"/>
        <v/>
      </c>
      <c r="AG68" s="379" t="str">
        <f>IF(D68="","",VLOOKUP(F68,'9. All Habitats + Multipliers'!$C$4:$K$102,5,FALSE))</f>
        <v/>
      </c>
      <c r="AH68" s="380" t="str">
        <f>IF(AG68="","",VLOOKUP(AG68,'11. Lists'!$S$47:$U$50,2,FALSE))</f>
        <v/>
      </c>
      <c r="AI68" s="560" t="str">
        <f t="shared" si="29"/>
        <v/>
      </c>
      <c r="AJ68" s="214" t="str">
        <f>IF(AI68="","",VLOOKUP(AI68,'11. Lists'!$F$47:$G$51,2,FALSE))</f>
        <v/>
      </c>
      <c r="AK68" s="365"/>
      <c r="AL68" s="365"/>
      <c r="AM68" s="365"/>
      <c r="AN68" s="211" t="str">
        <f t="shared" si="30"/>
        <v/>
      </c>
      <c r="AO68" s="561" t="str">
        <f>IF(AN68="","",VLOOKUP(AN68,'11. Lists'!$F$36:$H$38,2,FALSE))</f>
        <v/>
      </c>
      <c r="AP68" s="380" t="str">
        <f>IF(AN68="","",VLOOKUP(AN68,'11. Lists'!$F$36:$H$38,3,FALSE))</f>
        <v/>
      </c>
      <c r="AQ68" s="379" t="str">
        <f>IF(D68="","",IF(AX68="Distinctiveness","N/A",VLOOKUP(F68,'10. Condition and Temporal'!$B$6:$L$103,11,FALSE)))</f>
        <v/>
      </c>
      <c r="AR68" s="382" t="str">
        <f>IF(AQ68="","",IF(AQ68="N/A","1",VLOOKUP(AQ68,'11. Lists'!$I$47:$K$80,3,FALSE)))</f>
        <v/>
      </c>
      <c r="AS68" s="562" t="str">
        <f>IF(D68="","",IF(AX68="Condition","N/A",VLOOKUP(F68,'10. Condition and Temporal'!$B$6:$M$106,12,FALSE)))</f>
        <v/>
      </c>
      <c r="AT68" s="382" t="str">
        <f>IF(AS68="","",IF(AS68="N/A","1",VLOOKUP(AS68,'11. Lists'!$I$47:$K$80,3,FALSE)))</f>
        <v/>
      </c>
      <c r="AU68" s="561" t="str">
        <f>IF(D68="","",VLOOKUP(F68,'9. All Habitats + Multipliers'!$C$4:$K$102,8,FALSE))</f>
        <v/>
      </c>
      <c r="AV68" s="380" t="str">
        <f>IF(AU68="","",VLOOKUP(AU68,'11. Lists'!$J$35:$K$38,2,FALSE))</f>
        <v/>
      </c>
      <c r="AW68" s="379" t="str">
        <f>IF(D68="","",VLOOKUP(D68,'10. Condition and Temporal'!$B$6:$M$103,4,FALSE))</f>
        <v/>
      </c>
      <c r="AX68" s="380" t="str">
        <f t="shared" si="31"/>
        <v/>
      </c>
      <c r="AY68" s="1"/>
      <c r="AZ68" s="563"/>
      <c r="BA68" s="214">
        <v>3.0</v>
      </c>
      <c r="BB68" s="215" t="str">
        <f t="shared" si="32"/>
        <v/>
      </c>
      <c r="BC68" s="215" t="str">
        <f t="shared" si="33"/>
        <v/>
      </c>
      <c r="BD68" s="215" t="str">
        <f t="shared" si="34"/>
        <v/>
      </c>
      <c r="BE68" s="215" t="str">
        <f t="shared" si="35"/>
        <v/>
      </c>
      <c r="BF68" s="215" t="str">
        <f t="shared" si="36"/>
        <v/>
      </c>
      <c r="BG68" s="215" t="str">
        <f t="shared" si="37"/>
        <v/>
      </c>
      <c r="BH68" s="215" t="str">
        <f t="shared" si="38"/>
        <v/>
      </c>
      <c r="BI68" s="215" t="str">
        <f t="shared" si="39"/>
        <v/>
      </c>
      <c r="BJ68" s="215" t="str">
        <f t="shared" si="40"/>
        <v/>
      </c>
      <c r="BK68" s="215" t="str">
        <f t="shared" si="41"/>
        <v/>
      </c>
      <c r="BL68" s="215" t="str">
        <f t="shared" si="42"/>
        <v/>
      </c>
      <c r="BM68" s="215" t="str">
        <f t="shared" si="43"/>
        <v/>
      </c>
      <c r="BN68" s="215" t="str">
        <f t="shared" si="44"/>
        <v/>
      </c>
      <c r="BO68" s="215" t="str">
        <f t="shared" si="45"/>
        <v/>
      </c>
      <c r="BP68" s="215" t="str">
        <f t="shared" si="46"/>
        <v/>
      </c>
      <c r="BQ68" s="215" t="str">
        <f t="shared" si="47"/>
        <v/>
      </c>
      <c r="BR68" s="215" t="str">
        <f t="shared" si="48"/>
        <v/>
      </c>
      <c r="BS68" s="215" t="str">
        <f t="shared" si="49"/>
        <v/>
      </c>
      <c r="BT68" s="215" t="str">
        <f t="shared" si="50"/>
        <v/>
      </c>
      <c r="BU68" s="211" t="str">
        <f t="shared" si="51"/>
        <v/>
      </c>
      <c r="BV68" s="212" t="str">
        <f t="shared" si="52"/>
        <v/>
      </c>
      <c r="BW68" s="215" t="s">
        <v>188</v>
      </c>
      <c r="BX68" s="215">
        <f>BD64</f>
        <v>0</v>
      </c>
    </row>
    <row r="69" ht="14.25" customHeight="1">
      <c r="A69" s="1"/>
      <c r="B69" s="221">
        <v>4.0</v>
      </c>
      <c r="C69" s="376" t="str">
        <f t="shared" si="14"/>
        <v/>
      </c>
      <c r="D69" s="352" t="str">
        <f t="shared" si="15"/>
        <v/>
      </c>
      <c r="E69" s="377" t="str">
        <f t="shared" si="16"/>
        <v/>
      </c>
      <c r="F69" s="222"/>
      <c r="G69" s="43"/>
      <c r="H69" s="354" t="str">
        <f t="shared" si="17"/>
        <v/>
      </c>
      <c r="I69" s="564" t="str">
        <f t="shared" si="18"/>
        <v/>
      </c>
      <c r="J69" s="565" t="str">
        <f>IFERROR(IF(F69="","",VLOOKUP(F69,'10. Condition and Temporal'!$B$6:$F$103,5,FALSE)), "Error ▲")</f>
        <v/>
      </c>
      <c r="K69" s="359"/>
      <c r="L69" s="357" t="str">
        <f t="shared" si="19"/>
        <v/>
      </c>
      <c r="M69" s="358" t="str">
        <f t="shared" si="20"/>
        <v/>
      </c>
      <c r="N69" s="359"/>
      <c r="O69" s="378"/>
      <c r="P69" s="300"/>
      <c r="Q69" s="1"/>
      <c r="R69" s="161"/>
      <c r="S69" s="1"/>
      <c r="T69" s="361" t="str">
        <f t="shared" si="21"/>
        <v/>
      </c>
      <c r="U69" s="379" t="str">
        <f t="shared" si="22"/>
        <v/>
      </c>
      <c r="V69" s="380" t="str">
        <f t="shared" ref="V69:X69" si="54">IF($D69="","",V14)</f>
        <v/>
      </c>
      <c r="W69" s="379" t="str">
        <f t="shared" si="54"/>
        <v/>
      </c>
      <c r="X69" s="215" t="str">
        <f t="shared" si="54"/>
        <v/>
      </c>
      <c r="Y69" s="365"/>
      <c r="Z69" s="365"/>
      <c r="AA69" s="365"/>
      <c r="AB69" s="215" t="str">
        <f t="shared" si="24"/>
        <v/>
      </c>
      <c r="AC69" s="558" t="str">
        <f t="shared" si="25"/>
        <v/>
      </c>
      <c r="AD69" s="380" t="str">
        <f t="shared" si="26"/>
        <v/>
      </c>
      <c r="AE69" s="559" t="str">
        <f t="shared" si="27"/>
        <v/>
      </c>
      <c r="AF69" s="560" t="str">
        <f t="shared" si="28"/>
        <v/>
      </c>
      <c r="AG69" s="379" t="str">
        <f>IF(D69="","",VLOOKUP(F69,'9. All Habitats + Multipliers'!$C$4:$K$102,5,FALSE))</f>
        <v/>
      </c>
      <c r="AH69" s="380" t="str">
        <f>IF(AG69="","",VLOOKUP(AG69,'11. Lists'!$S$47:$U$50,2,FALSE))</f>
        <v/>
      </c>
      <c r="AI69" s="560" t="str">
        <f t="shared" si="29"/>
        <v/>
      </c>
      <c r="AJ69" s="214" t="str">
        <f>IF(AI69="","",VLOOKUP(AI69,'11. Lists'!$F$47:$G$51,2,FALSE))</f>
        <v/>
      </c>
      <c r="AK69" s="365"/>
      <c r="AL69" s="365"/>
      <c r="AM69" s="365"/>
      <c r="AN69" s="211" t="str">
        <f t="shared" si="30"/>
        <v/>
      </c>
      <c r="AO69" s="561" t="str">
        <f>IF(AN69="","",VLOOKUP(AN69,'11. Lists'!$F$36:$H$38,2,FALSE))</f>
        <v/>
      </c>
      <c r="AP69" s="380" t="str">
        <f>IF(AN69="","",VLOOKUP(AN69,'11. Lists'!$F$36:$H$38,3,FALSE))</f>
        <v/>
      </c>
      <c r="AQ69" s="379" t="str">
        <f>IF(D69="","",IF(AX69="Distinctiveness","N/A",VLOOKUP(F69,'10. Condition and Temporal'!$B$6:$L$103,11,FALSE)))</f>
        <v/>
      </c>
      <c r="AR69" s="382" t="str">
        <f>IF(AQ69="","",IF(AQ69="N/A","1",VLOOKUP(AQ69,'11. Lists'!$I$47:$K$80,3,FALSE)))</f>
        <v/>
      </c>
      <c r="AS69" s="562" t="str">
        <f>IF(D69="","",IF(AX69="Condition","N/A",VLOOKUP(F69,'10. Condition and Temporal'!$B$6:$M$106,12,FALSE)))</f>
        <v/>
      </c>
      <c r="AT69" s="382" t="str">
        <f>IF(AS69="","",IF(AS69="N/A","1",VLOOKUP(AS69,'11. Lists'!$I$47:$K$80,3,FALSE)))</f>
        <v/>
      </c>
      <c r="AU69" s="561" t="str">
        <f>IF(D69="","",VLOOKUP(F69,'9. All Habitats + Multipliers'!$C$4:$K$102,8,FALSE))</f>
        <v/>
      </c>
      <c r="AV69" s="380" t="str">
        <f>IF(AU69="","",VLOOKUP(AU69,'11. Lists'!$J$35:$K$38,2,FALSE))</f>
        <v/>
      </c>
      <c r="AW69" s="379" t="str">
        <f>IF(D69="","",VLOOKUP(D69,'10. Condition and Temporal'!$B$6:$M$103,4,FALSE))</f>
        <v/>
      </c>
      <c r="AX69" s="380" t="str">
        <f t="shared" si="31"/>
        <v/>
      </c>
      <c r="AY69" s="1"/>
      <c r="AZ69" s="563"/>
      <c r="BA69" s="214">
        <v>4.0</v>
      </c>
      <c r="BB69" s="215" t="str">
        <f t="shared" si="32"/>
        <v/>
      </c>
      <c r="BC69" s="215" t="str">
        <f t="shared" si="33"/>
        <v/>
      </c>
      <c r="BD69" s="215" t="str">
        <f t="shared" si="34"/>
        <v/>
      </c>
      <c r="BE69" s="215" t="str">
        <f t="shared" si="35"/>
        <v/>
      </c>
      <c r="BF69" s="215" t="str">
        <f t="shared" si="36"/>
        <v/>
      </c>
      <c r="BG69" s="215" t="str">
        <f t="shared" si="37"/>
        <v/>
      </c>
      <c r="BH69" s="215" t="str">
        <f t="shared" si="38"/>
        <v/>
      </c>
      <c r="BI69" s="215" t="str">
        <f t="shared" si="39"/>
        <v/>
      </c>
      <c r="BJ69" s="215" t="str">
        <f t="shared" si="40"/>
        <v/>
      </c>
      <c r="BK69" s="215" t="str">
        <f t="shared" si="41"/>
        <v/>
      </c>
      <c r="BL69" s="215" t="str">
        <f t="shared" si="42"/>
        <v/>
      </c>
      <c r="BM69" s="215" t="str">
        <f t="shared" si="43"/>
        <v/>
      </c>
      <c r="BN69" s="215" t="str">
        <f t="shared" si="44"/>
        <v/>
      </c>
      <c r="BO69" s="215" t="str">
        <f t="shared" si="45"/>
        <v/>
      </c>
      <c r="BP69" s="215" t="str">
        <f t="shared" si="46"/>
        <v/>
      </c>
      <c r="BQ69" s="215" t="str">
        <f t="shared" si="47"/>
        <v/>
      </c>
      <c r="BR69" s="215" t="str">
        <f t="shared" si="48"/>
        <v/>
      </c>
      <c r="BS69" s="215" t="str">
        <f t="shared" si="49"/>
        <v/>
      </c>
      <c r="BT69" s="215" t="str">
        <f t="shared" si="50"/>
        <v/>
      </c>
      <c r="BU69" s="211" t="str">
        <f t="shared" si="51"/>
        <v/>
      </c>
      <c r="BV69" s="212" t="str">
        <f t="shared" si="52"/>
        <v/>
      </c>
      <c r="BW69" s="215" t="s">
        <v>189</v>
      </c>
      <c r="BX69" s="215">
        <f>BE64</f>
        <v>0</v>
      </c>
    </row>
    <row r="70" ht="14.25" customHeight="1">
      <c r="A70" s="1"/>
      <c r="B70" s="221">
        <v>5.0</v>
      </c>
      <c r="C70" s="376" t="str">
        <f t="shared" si="14"/>
        <v/>
      </c>
      <c r="D70" s="352" t="str">
        <f t="shared" si="15"/>
        <v/>
      </c>
      <c r="E70" s="377" t="str">
        <f t="shared" si="16"/>
        <v/>
      </c>
      <c r="F70" s="222"/>
      <c r="G70" s="43"/>
      <c r="H70" s="354" t="str">
        <f t="shared" si="17"/>
        <v/>
      </c>
      <c r="I70" s="564" t="str">
        <f t="shared" si="18"/>
        <v/>
      </c>
      <c r="J70" s="565" t="str">
        <f>IFERROR(IF(F70="","",VLOOKUP(F70,'10. Condition and Temporal'!$B$6:$F$103,5,FALSE)), "Error ▲")</f>
        <v/>
      </c>
      <c r="K70" s="359"/>
      <c r="L70" s="357" t="str">
        <f t="shared" si="19"/>
        <v/>
      </c>
      <c r="M70" s="358" t="str">
        <f t="shared" si="20"/>
        <v/>
      </c>
      <c r="N70" s="359"/>
      <c r="O70" s="378"/>
      <c r="P70" s="300"/>
      <c r="Q70" s="1"/>
      <c r="R70" s="161"/>
      <c r="S70" s="1"/>
      <c r="T70" s="361" t="str">
        <f t="shared" si="21"/>
        <v/>
      </c>
      <c r="U70" s="379" t="str">
        <f t="shared" si="22"/>
        <v/>
      </c>
      <c r="V70" s="380" t="str">
        <f t="shared" ref="V70:X70" si="55">IF($D70="","",V15)</f>
        <v/>
      </c>
      <c r="W70" s="379" t="str">
        <f t="shared" si="55"/>
        <v/>
      </c>
      <c r="X70" s="215" t="str">
        <f t="shared" si="55"/>
        <v/>
      </c>
      <c r="Y70" s="365"/>
      <c r="Z70" s="365"/>
      <c r="AA70" s="365"/>
      <c r="AB70" s="215" t="str">
        <f t="shared" si="24"/>
        <v/>
      </c>
      <c r="AC70" s="558" t="str">
        <f t="shared" si="25"/>
        <v/>
      </c>
      <c r="AD70" s="380" t="str">
        <f t="shared" si="26"/>
        <v/>
      </c>
      <c r="AE70" s="559" t="str">
        <f t="shared" si="27"/>
        <v/>
      </c>
      <c r="AF70" s="560" t="str">
        <f t="shared" si="28"/>
        <v/>
      </c>
      <c r="AG70" s="379" t="str">
        <f>IF(D70="","",VLOOKUP(F70,'9. All Habitats + Multipliers'!$C$4:$K$102,5,FALSE))</f>
        <v/>
      </c>
      <c r="AH70" s="380" t="str">
        <f>IF(AG70="","",VLOOKUP(AG70,'11. Lists'!$S$47:$U$50,2,FALSE))</f>
        <v/>
      </c>
      <c r="AI70" s="560" t="str">
        <f t="shared" si="29"/>
        <v/>
      </c>
      <c r="AJ70" s="214" t="str">
        <f>IF(AI70="","",VLOOKUP(AI70,'11. Lists'!$F$47:$G$51,2,FALSE))</f>
        <v/>
      </c>
      <c r="AK70" s="365"/>
      <c r="AL70" s="365"/>
      <c r="AM70" s="365"/>
      <c r="AN70" s="211" t="str">
        <f t="shared" si="30"/>
        <v/>
      </c>
      <c r="AO70" s="561" t="str">
        <f>IF(AN70="","",VLOOKUP(AN70,'11. Lists'!$F$36:$H$38,2,FALSE))</f>
        <v/>
      </c>
      <c r="AP70" s="380" t="str">
        <f>IF(AN70="","",VLOOKUP(AN70,'11. Lists'!$F$36:$H$38,3,FALSE))</f>
        <v/>
      </c>
      <c r="AQ70" s="379" t="str">
        <f>IF(D70="","",IF(AX70="Distinctiveness","N/A",VLOOKUP(F70,'10. Condition and Temporal'!$B$6:$L$103,11,FALSE)))</f>
        <v/>
      </c>
      <c r="AR70" s="382" t="str">
        <f>IF(AQ70="","",IF(AQ70="N/A","1",VLOOKUP(AQ70,'11. Lists'!$I$47:$K$80,3,FALSE)))</f>
        <v/>
      </c>
      <c r="AS70" s="562" t="str">
        <f>IF(D70="","",IF(AX70="Condition","N/A",VLOOKUP(F70,'10. Condition and Temporal'!$B$6:$M$106,12,FALSE)))</f>
        <v/>
      </c>
      <c r="AT70" s="382" t="str">
        <f>IF(AS70="","",IF(AS70="N/A","1",VLOOKUP(AS70,'11. Lists'!$I$47:$K$80,3,FALSE)))</f>
        <v/>
      </c>
      <c r="AU70" s="561" t="str">
        <f>IF(D70="","",VLOOKUP(F70,'9. All Habitats + Multipliers'!$C$4:$K$102,8,FALSE))</f>
        <v/>
      </c>
      <c r="AV70" s="380" t="str">
        <f>IF(AU70="","",VLOOKUP(AU70,'11. Lists'!$J$35:$K$38,2,FALSE))</f>
        <v/>
      </c>
      <c r="AW70" s="379" t="str">
        <f>IF(D70="","",VLOOKUP(D70,'10. Condition and Temporal'!$B$6:$M$103,4,FALSE))</f>
        <v/>
      </c>
      <c r="AX70" s="380" t="str">
        <f t="shared" si="31"/>
        <v/>
      </c>
      <c r="AY70" s="1"/>
      <c r="AZ70" s="563"/>
      <c r="BA70" s="214">
        <v>5.0</v>
      </c>
      <c r="BB70" s="215" t="str">
        <f t="shared" si="32"/>
        <v/>
      </c>
      <c r="BC70" s="215" t="str">
        <f t="shared" si="33"/>
        <v/>
      </c>
      <c r="BD70" s="215" t="str">
        <f t="shared" si="34"/>
        <v/>
      </c>
      <c r="BE70" s="215" t="str">
        <f t="shared" si="35"/>
        <v/>
      </c>
      <c r="BF70" s="215" t="str">
        <f t="shared" si="36"/>
        <v/>
      </c>
      <c r="BG70" s="215" t="str">
        <f t="shared" si="37"/>
        <v/>
      </c>
      <c r="BH70" s="215" t="str">
        <f t="shared" si="38"/>
        <v/>
      </c>
      <c r="BI70" s="215" t="str">
        <f t="shared" si="39"/>
        <v/>
      </c>
      <c r="BJ70" s="215" t="str">
        <f t="shared" si="40"/>
        <v/>
      </c>
      <c r="BK70" s="215" t="str">
        <f t="shared" si="41"/>
        <v/>
      </c>
      <c r="BL70" s="215" t="str">
        <f t="shared" si="42"/>
        <v/>
      </c>
      <c r="BM70" s="215" t="str">
        <f t="shared" si="43"/>
        <v/>
      </c>
      <c r="BN70" s="215" t="str">
        <f t="shared" si="44"/>
        <v/>
      </c>
      <c r="BO70" s="215" t="str">
        <f t="shared" si="45"/>
        <v/>
      </c>
      <c r="BP70" s="215" t="str">
        <f t="shared" si="46"/>
        <v/>
      </c>
      <c r="BQ70" s="215" t="str">
        <f t="shared" si="47"/>
        <v/>
      </c>
      <c r="BR70" s="215" t="str">
        <f t="shared" si="48"/>
        <v/>
      </c>
      <c r="BS70" s="215" t="str">
        <f t="shared" si="49"/>
        <v/>
      </c>
      <c r="BT70" s="215" t="str">
        <f t="shared" si="50"/>
        <v/>
      </c>
      <c r="BU70" s="211" t="str">
        <f t="shared" si="51"/>
        <v/>
      </c>
      <c r="BV70" s="212" t="str">
        <f t="shared" si="52"/>
        <v/>
      </c>
      <c r="BW70" s="215" t="s">
        <v>190</v>
      </c>
      <c r="BX70" s="215">
        <f>BF64</f>
        <v>0</v>
      </c>
    </row>
    <row r="71" ht="14.25" customHeight="1">
      <c r="A71" s="1"/>
      <c r="B71" s="221">
        <v>6.0</v>
      </c>
      <c r="C71" s="376" t="str">
        <f t="shared" si="14"/>
        <v/>
      </c>
      <c r="D71" s="352" t="str">
        <f t="shared" si="15"/>
        <v/>
      </c>
      <c r="E71" s="377" t="str">
        <f t="shared" si="16"/>
        <v/>
      </c>
      <c r="F71" s="222"/>
      <c r="G71" s="43"/>
      <c r="H71" s="354" t="str">
        <f t="shared" si="17"/>
        <v/>
      </c>
      <c r="I71" s="564" t="str">
        <f t="shared" si="18"/>
        <v/>
      </c>
      <c r="J71" s="565" t="str">
        <f>IFERROR(IF(F71="","",VLOOKUP(F71,'10. Condition and Temporal'!$B$6:$F$103,5,FALSE)), "Error ▲")</f>
        <v/>
      </c>
      <c r="K71" s="359"/>
      <c r="L71" s="357" t="str">
        <f t="shared" si="19"/>
        <v/>
      </c>
      <c r="M71" s="358" t="str">
        <f t="shared" si="20"/>
        <v/>
      </c>
      <c r="N71" s="359"/>
      <c r="O71" s="378"/>
      <c r="P71" s="300"/>
      <c r="Q71" s="1"/>
      <c r="R71" s="161"/>
      <c r="S71" s="1"/>
      <c r="T71" s="361" t="str">
        <f t="shared" si="21"/>
        <v/>
      </c>
      <c r="U71" s="379" t="str">
        <f t="shared" si="22"/>
        <v/>
      </c>
      <c r="V71" s="380" t="str">
        <f t="shared" ref="V71:X71" si="56">IF($D71="","",V16)</f>
        <v/>
      </c>
      <c r="W71" s="379" t="str">
        <f t="shared" si="56"/>
        <v/>
      </c>
      <c r="X71" s="215" t="str">
        <f t="shared" si="56"/>
        <v/>
      </c>
      <c r="Y71" s="365"/>
      <c r="Z71" s="365"/>
      <c r="AA71" s="365"/>
      <c r="AB71" s="215" t="str">
        <f t="shared" si="24"/>
        <v/>
      </c>
      <c r="AC71" s="558" t="str">
        <f t="shared" si="25"/>
        <v/>
      </c>
      <c r="AD71" s="380" t="str">
        <f t="shared" si="26"/>
        <v/>
      </c>
      <c r="AE71" s="559" t="str">
        <f t="shared" si="27"/>
        <v/>
      </c>
      <c r="AF71" s="560" t="str">
        <f t="shared" si="28"/>
        <v/>
      </c>
      <c r="AG71" s="379" t="str">
        <f>IF(D71="","",VLOOKUP(F71,'9. All Habitats + Multipliers'!$C$4:$K$102,5,FALSE))</f>
        <v/>
      </c>
      <c r="AH71" s="380" t="str">
        <f>IF(AG71="","",VLOOKUP(AG71,'11. Lists'!$S$47:$U$50,2,FALSE))</f>
        <v/>
      </c>
      <c r="AI71" s="560" t="str">
        <f t="shared" si="29"/>
        <v/>
      </c>
      <c r="AJ71" s="214" t="str">
        <f>IF(AI71="","",VLOOKUP(AI71,'11. Lists'!$F$47:$G$51,2,FALSE))</f>
        <v/>
      </c>
      <c r="AK71" s="365"/>
      <c r="AL71" s="365"/>
      <c r="AM71" s="365"/>
      <c r="AN71" s="211" t="str">
        <f t="shared" si="30"/>
        <v/>
      </c>
      <c r="AO71" s="561" t="str">
        <f>IF(AN71="","",VLOOKUP(AN71,'11. Lists'!$F$36:$H$38,2,FALSE))</f>
        <v/>
      </c>
      <c r="AP71" s="380" t="str">
        <f>IF(AN71="","",VLOOKUP(AN71,'11. Lists'!$F$36:$H$38,3,FALSE))</f>
        <v/>
      </c>
      <c r="AQ71" s="379" t="str">
        <f>IF(D71="","",IF(AX71="Distinctiveness","N/A",VLOOKUP(F71,'10. Condition and Temporal'!$B$6:$L$103,11,FALSE)))</f>
        <v/>
      </c>
      <c r="AR71" s="382" t="str">
        <f>IF(AQ71="","",IF(AQ71="N/A","1",VLOOKUP(AQ71,'11. Lists'!$I$47:$K$80,3,FALSE)))</f>
        <v/>
      </c>
      <c r="AS71" s="562" t="str">
        <f>IF(D71="","",IF(AX71="Condition","N/A",VLOOKUP(F71,'10. Condition and Temporal'!$B$6:$M$106,12,FALSE)))</f>
        <v/>
      </c>
      <c r="AT71" s="382" t="str">
        <f>IF(AS71="","",IF(AS71="N/A","1",VLOOKUP(AS71,'11. Lists'!$I$47:$K$80,3,FALSE)))</f>
        <v/>
      </c>
      <c r="AU71" s="561" t="str">
        <f>IF(D71="","",VLOOKUP(F71,'9. All Habitats + Multipliers'!$C$4:$K$102,8,FALSE))</f>
        <v/>
      </c>
      <c r="AV71" s="380" t="str">
        <f>IF(AU71="","",VLOOKUP(AU71,'11. Lists'!$J$35:$K$38,2,FALSE))</f>
        <v/>
      </c>
      <c r="AW71" s="379" t="str">
        <f>IF(D71="","",VLOOKUP(D71,'10. Condition and Temporal'!$B$6:$M$103,4,FALSE))</f>
        <v/>
      </c>
      <c r="AX71" s="380" t="str">
        <f t="shared" si="31"/>
        <v/>
      </c>
      <c r="AY71" s="1"/>
      <c r="AZ71" s="563"/>
      <c r="BA71" s="214">
        <v>6.0</v>
      </c>
      <c r="BB71" s="215" t="str">
        <f t="shared" si="32"/>
        <v/>
      </c>
      <c r="BC71" s="215" t="str">
        <f t="shared" si="33"/>
        <v/>
      </c>
      <c r="BD71" s="215" t="str">
        <f t="shared" si="34"/>
        <v/>
      </c>
      <c r="BE71" s="215" t="str">
        <f t="shared" si="35"/>
        <v/>
      </c>
      <c r="BF71" s="215" t="str">
        <f t="shared" si="36"/>
        <v/>
      </c>
      <c r="BG71" s="215" t="str">
        <f t="shared" si="37"/>
        <v/>
      </c>
      <c r="BH71" s="215" t="str">
        <f t="shared" si="38"/>
        <v/>
      </c>
      <c r="BI71" s="215" t="str">
        <f t="shared" si="39"/>
        <v/>
      </c>
      <c r="BJ71" s="215" t="str">
        <f t="shared" si="40"/>
        <v/>
      </c>
      <c r="BK71" s="215" t="str">
        <f t="shared" si="41"/>
        <v/>
      </c>
      <c r="BL71" s="215" t="str">
        <f t="shared" si="42"/>
        <v/>
      </c>
      <c r="BM71" s="215" t="str">
        <f t="shared" si="43"/>
        <v/>
      </c>
      <c r="BN71" s="215" t="str">
        <f t="shared" si="44"/>
        <v/>
      </c>
      <c r="BO71" s="215" t="str">
        <f t="shared" si="45"/>
        <v/>
      </c>
      <c r="BP71" s="215" t="str">
        <f t="shared" si="46"/>
        <v/>
      </c>
      <c r="BQ71" s="215" t="str">
        <f t="shared" si="47"/>
        <v/>
      </c>
      <c r="BR71" s="215" t="str">
        <f t="shared" si="48"/>
        <v/>
      </c>
      <c r="BS71" s="215" t="str">
        <f t="shared" si="49"/>
        <v/>
      </c>
      <c r="BT71" s="215" t="str">
        <f t="shared" si="50"/>
        <v/>
      </c>
      <c r="BU71" s="211" t="str">
        <f t="shared" si="51"/>
        <v/>
      </c>
      <c r="BV71" s="212" t="str">
        <f t="shared" si="52"/>
        <v/>
      </c>
      <c r="BW71" s="215" t="s">
        <v>191</v>
      </c>
      <c r="BX71" s="215">
        <f>BG64</f>
        <v>0</v>
      </c>
    </row>
    <row r="72" ht="14.25" customHeight="1">
      <c r="A72" s="1"/>
      <c r="B72" s="221">
        <v>7.0</v>
      </c>
      <c r="C72" s="376" t="str">
        <f t="shared" si="14"/>
        <v/>
      </c>
      <c r="D72" s="352" t="str">
        <f t="shared" si="15"/>
        <v/>
      </c>
      <c r="E72" s="377" t="str">
        <f t="shared" si="16"/>
        <v/>
      </c>
      <c r="F72" s="222"/>
      <c r="G72" s="43"/>
      <c r="H72" s="354" t="str">
        <f t="shared" si="17"/>
        <v/>
      </c>
      <c r="I72" s="564" t="str">
        <f t="shared" si="18"/>
        <v/>
      </c>
      <c r="J72" s="565" t="str">
        <f>IFERROR(IF(F72="","",VLOOKUP(F72,'10. Condition and Temporal'!$B$6:$F$103,5,FALSE)), "Error ▲")</f>
        <v/>
      </c>
      <c r="K72" s="359"/>
      <c r="L72" s="357" t="str">
        <f t="shared" si="19"/>
        <v/>
      </c>
      <c r="M72" s="358" t="str">
        <f t="shared" si="20"/>
        <v/>
      </c>
      <c r="N72" s="359"/>
      <c r="O72" s="378"/>
      <c r="P72" s="300"/>
      <c r="Q72" s="1"/>
      <c r="R72" s="161"/>
      <c r="S72" s="1"/>
      <c r="T72" s="361" t="str">
        <f t="shared" si="21"/>
        <v/>
      </c>
      <c r="U72" s="379" t="str">
        <f t="shared" si="22"/>
        <v/>
      </c>
      <c r="V72" s="380" t="str">
        <f t="shared" ref="V72:X72" si="57">IF($D72="","",V17)</f>
        <v/>
      </c>
      <c r="W72" s="379" t="str">
        <f t="shared" si="57"/>
        <v/>
      </c>
      <c r="X72" s="215" t="str">
        <f t="shared" si="57"/>
        <v/>
      </c>
      <c r="Y72" s="365"/>
      <c r="Z72" s="365"/>
      <c r="AA72" s="365"/>
      <c r="AB72" s="215" t="str">
        <f t="shared" si="24"/>
        <v/>
      </c>
      <c r="AC72" s="558" t="str">
        <f t="shared" si="25"/>
        <v/>
      </c>
      <c r="AD72" s="380" t="str">
        <f t="shared" si="26"/>
        <v/>
      </c>
      <c r="AE72" s="559" t="str">
        <f t="shared" si="27"/>
        <v/>
      </c>
      <c r="AF72" s="560" t="str">
        <f t="shared" si="28"/>
        <v/>
      </c>
      <c r="AG72" s="379" t="str">
        <f>IF(D72="","",VLOOKUP(F72,'9. All Habitats + Multipliers'!$C$4:$K$102,5,FALSE))</f>
        <v/>
      </c>
      <c r="AH72" s="380" t="str">
        <f>IF(AG72="","",VLOOKUP(AG72,'11. Lists'!$S$47:$U$50,2,FALSE))</f>
        <v/>
      </c>
      <c r="AI72" s="560" t="str">
        <f t="shared" si="29"/>
        <v/>
      </c>
      <c r="AJ72" s="214" t="str">
        <f>IF(AI72="","",VLOOKUP(AI72,'11. Lists'!$F$47:$G$51,2,FALSE))</f>
        <v/>
      </c>
      <c r="AK72" s="365"/>
      <c r="AL72" s="365"/>
      <c r="AM72" s="365"/>
      <c r="AN72" s="211" t="str">
        <f t="shared" si="30"/>
        <v/>
      </c>
      <c r="AO72" s="561" t="str">
        <f>IF(AN72="","",VLOOKUP(AN72,'11. Lists'!$F$36:$H$38,2,FALSE))</f>
        <v/>
      </c>
      <c r="AP72" s="380" t="str">
        <f>IF(AN72="","",VLOOKUP(AN72,'11. Lists'!$F$36:$H$38,3,FALSE))</f>
        <v/>
      </c>
      <c r="AQ72" s="379" t="str">
        <f>IF(D72="","",IF(AX72="Distinctiveness","N/A",VLOOKUP(F72,'10. Condition and Temporal'!$B$6:$L$103,11,FALSE)))</f>
        <v/>
      </c>
      <c r="AR72" s="382" t="str">
        <f>IF(AQ72="","",IF(AQ72="N/A","1",VLOOKUP(AQ72,'11. Lists'!$I$47:$K$80,3,FALSE)))</f>
        <v/>
      </c>
      <c r="AS72" s="562" t="str">
        <f>IF(D72="","",IF(AX72="Condition","N/A",VLOOKUP(F72,'10. Condition and Temporal'!$B$6:$M$106,12,FALSE)))</f>
        <v/>
      </c>
      <c r="AT72" s="382" t="str">
        <f>IF(AS72="","",IF(AS72="N/A","1",VLOOKUP(AS72,'11. Lists'!$I$47:$K$80,3,FALSE)))</f>
        <v/>
      </c>
      <c r="AU72" s="561" t="str">
        <f>IF(D72="","",VLOOKUP(F72,'9. All Habitats + Multipliers'!$C$4:$K$102,8,FALSE))</f>
        <v/>
      </c>
      <c r="AV72" s="380" t="str">
        <f>IF(AU72="","",VLOOKUP(AU72,'11. Lists'!$J$35:$K$38,2,FALSE))</f>
        <v/>
      </c>
      <c r="AW72" s="379" t="str">
        <f>IF(D72="","",VLOOKUP(D72,'10. Condition and Temporal'!$B$6:$M$103,4,FALSE))</f>
        <v/>
      </c>
      <c r="AX72" s="380" t="str">
        <f t="shared" si="31"/>
        <v/>
      </c>
      <c r="AY72" s="1"/>
      <c r="AZ72" s="563"/>
      <c r="BA72" s="214">
        <v>7.0</v>
      </c>
      <c r="BB72" s="215" t="str">
        <f t="shared" si="32"/>
        <v/>
      </c>
      <c r="BC72" s="215" t="str">
        <f t="shared" si="33"/>
        <v/>
      </c>
      <c r="BD72" s="215" t="str">
        <f t="shared" si="34"/>
        <v/>
      </c>
      <c r="BE72" s="215" t="str">
        <f t="shared" si="35"/>
        <v/>
      </c>
      <c r="BF72" s="215" t="str">
        <f t="shared" si="36"/>
        <v/>
      </c>
      <c r="BG72" s="215" t="str">
        <f t="shared" si="37"/>
        <v/>
      </c>
      <c r="BH72" s="215" t="str">
        <f t="shared" si="38"/>
        <v/>
      </c>
      <c r="BI72" s="215" t="str">
        <f t="shared" si="39"/>
        <v/>
      </c>
      <c r="BJ72" s="215" t="str">
        <f t="shared" si="40"/>
        <v/>
      </c>
      <c r="BK72" s="215" t="str">
        <f t="shared" si="41"/>
        <v/>
      </c>
      <c r="BL72" s="215" t="str">
        <f t="shared" si="42"/>
        <v/>
      </c>
      <c r="BM72" s="215" t="str">
        <f t="shared" si="43"/>
        <v/>
      </c>
      <c r="BN72" s="215" t="str">
        <f t="shared" si="44"/>
        <v/>
      </c>
      <c r="BO72" s="215" t="str">
        <f t="shared" si="45"/>
        <v/>
      </c>
      <c r="BP72" s="215" t="str">
        <f t="shared" si="46"/>
        <v/>
      </c>
      <c r="BQ72" s="215" t="str">
        <f t="shared" si="47"/>
        <v/>
      </c>
      <c r="BR72" s="215" t="str">
        <f t="shared" si="48"/>
        <v/>
      </c>
      <c r="BS72" s="215" t="str">
        <f t="shared" si="49"/>
        <v/>
      </c>
      <c r="BT72" s="215" t="str">
        <f t="shared" si="50"/>
        <v/>
      </c>
      <c r="BU72" s="211" t="str">
        <f t="shared" si="51"/>
        <v/>
      </c>
      <c r="BV72" s="212" t="str">
        <f t="shared" si="52"/>
        <v/>
      </c>
      <c r="BW72" s="215" t="s">
        <v>192</v>
      </c>
      <c r="BX72" s="215">
        <f>BH64</f>
        <v>0</v>
      </c>
    </row>
    <row r="73" ht="14.25" customHeight="1">
      <c r="A73" s="1"/>
      <c r="B73" s="221">
        <v>8.0</v>
      </c>
      <c r="C73" s="376" t="str">
        <f t="shared" si="14"/>
        <v/>
      </c>
      <c r="D73" s="352" t="str">
        <f t="shared" si="15"/>
        <v/>
      </c>
      <c r="E73" s="377" t="str">
        <f t="shared" si="16"/>
        <v/>
      </c>
      <c r="F73" s="222"/>
      <c r="G73" s="43"/>
      <c r="H73" s="354" t="str">
        <f t="shared" si="17"/>
        <v/>
      </c>
      <c r="I73" s="564" t="str">
        <f t="shared" si="18"/>
        <v/>
      </c>
      <c r="J73" s="565" t="str">
        <f>IFERROR(IF(F73="","",VLOOKUP(F73,'10. Condition and Temporal'!$B$6:$F$103,5,FALSE)), "Error ▲")</f>
        <v/>
      </c>
      <c r="K73" s="359"/>
      <c r="L73" s="357" t="str">
        <f t="shared" si="19"/>
        <v/>
      </c>
      <c r="M73" s="358" t="str">
        <f t="shared" si="20"/>
        <v/>
      </c>
      <c r="N73" s="359"/>
      <c r="O73" s="378"/>
      <c r="P73" s="300"/>
      <c r="Q73" s="1"/>
      <c r="R73" s="161"/>
      <c r="S73" s="1"/>
      <c r="T73" s="361" t="str">
        <f t="shared" si="21"/>
        <v/>
      </c>
      <c r="U73" s="379" t="str">
        <f t="shared" si="22"/>
        <v/>
      </c>
      <c r="V73" s="380" t="str">
        <f t="shared" ref="V73:X73" si="58">IF($D73="","",V18)</f>
        <v/>
      </c>
      <c r="W73" s="379" t="str">
        <f t="shared" si="58"/>
        <v/>
      </c>
      <c r="X73" s="215" t="str">
        <f t="shared" si="58"/>
        <v/>
      </c>
      <c r="Y73" s="365"/>
      <c r="Z73" s="365"/>
      <c r="AA73" s="365"/>
      <c r="AB73" s="215" t="str">
        <f t="shared" si="24"/>
        <v/>
      </c>
      <c r="AC73" s="558" t="str">
        <f t="shared" si="25"/>
        <v/>
      </c>
      <c r="AD73" s="380" t="str">
        <f t="shared" si="26"/>
        <v/>
      </c>
      <c r="AE73" s="559" t="str">
        <f t="shared" si="27"/>
        <v/>
      </c>
      <c r="AF73" s="560" t="str">
        <f t="shared" si="28"/>
        <v/>
      </c>
      <c r="AG73" s="379" t="str">
        <f>IF(D73="","",VLOOKUP(F73,'9. All Habitats + Multipliers'!$C$4:$K$102,5,FALSE))</f>
        <v/>
      </c>
      <c r="AH73" s="380" t="str">
        <f>IF(AG73="","",VLOOKUP(AG73,'11. Lists'!$S$47:$U$50,2,FALSE))</f>
        <v/>
      </c>
      <c r="AI73" s="560" t="str">
        <f t="shared" si="29"/>
        <v/>
      </c>
      <c r="AJ73" s="214" t="str">
        <f>IF(AI73="","",VLOOKUP(AI73,'11. Lists'!$F$47:$G$51,2,FALSE))</f>
        <v/>
      </c>
      <c r="AK73" s="365"/>
      <c r="AL73" s="365"/>
      <c r="AM73" s="365"/>
      <c r="AN73" s="211" t="str">
        <f t="shared" si="30"/>
        <v/>
      </c>
      <c r="AO73" s="561" t="str">
        <f>IF(AN73="","",VLOOKUP(AN73,'11. Lists'!$F$36:$H$38,2,FALSE))</f>
        <v/>
      </c>
      <c r="AP73" s="380" t="str">
        <f>IF(AN73="","",VLOOKUP(AN73,'11. Lists'!$F$36:$H$38,3,FALSE))</f>
        <v/>
      </c>
      <c r="AQ73" s="379" t="str">
        <f>IF(D73="","",IF(AX73="Distinctiveness","N/A",VLOOKUP(F73,'10. Condition and Temporal'!$B$6:$L$103,11,FALSE)))</f>
        <v/>
      </c>
      <c r="AR73" s="382" t="str">
        <f>IF(AQ73="","",IF(AQ73="N/A","1",VLOOKUP(AQ73,'11. Lists'!$I$47:$K$80,3,FALSE)))</f>
        <v/>
      </c>
      <c r="AS73" s="562" t="str">
        <f>IF(D73="","",IF(AX73="Condition","N/A",VLOOKUP(F73,'10. Condition and Temporal'!$B$6:$M$106,12,FALSE)))</f>
        <v/>
      </c>
      <c r="AT73" s="382" t="str">
        <f>IF(AS73="","",IF(AS73="N/A","1",VLOOKUP(AS73,'11. Lists'!$I$47:$K$80,3,FALSE)))</f>
        <v/>
      </c>
      <c r="AU73" s="561" t="str">
        <f>IF(D73="","",VLOOKUP(F73,'9. All Habitats + Multipliers'!$C$4:$K$102,8,FALSE))</f>
        <v/>
      </c>
      <c r="AV73" s="380" t="str">
        <f>IF(AU73="","",VLOOKUP(AU73,'11. Lists'!$J$35:$K$38,2,FALSE))</f>
        <v/>
      </c>
      <c r="AW73" s="379" t="str">
        <f>IF(D73="","",VLOOKUP(D73,'10. Condition and Temporal'!$B$6:$M$103,4,FALSE))</f>
        <v/>
      </c>
      <c r="AX73" s="380" t="str">
        <f t="shared" si="31"/>
        <v/>
      </c>
      <c r="AY73" s="1"/>
      <c r="AZ73" s="563"/>
      <c r="BA73" s="214">
        <v>8.0</v>
      </c>
      <c r="BB73" s="215" t="str">
        <f t="shared" si="32"/>
        <v/>
      </c>
      <c r="BC73" s="215" t="str">
        <f t="shared" si="33"/>
        <v/>
      </c>
      <c r="BD73" s="215" t="str">
        <f t="shared" si="34"/>
        <v/>
      </c>
      <c r="BE73" s="215" t="str">
        <f t="shared" si="35"/>
        <v/>
      </c>
      <c r="BF73" s="215" t="str">
        <f t="shared" si="36"/>
        <v/>
      </c>
      <c r="BG73" s="215" t="str">
        <f t="shared" si="37"/>
        <v/>
      </c>
      <c r="BH73" s="215" t="str">
        <f t="shared" si="38"/>
        <v/>
      </c>
      <c r="BI73" s="215" t="str">
        <f t="shared" si="39"/>
        <v/>
      </c>
      <c r="BJ73" s="215" t="str">
        <f t="shared" si="40"/>
        <v/>
      </c>
      <c r="BK73" s="215" t="str">
        <f t="shared" si="41"/>
        <v/>
      </c>
      <c r="BL73" s="215" t="str">
        <f t="shared" si="42"/>
        <v/>
      </c>
      <c r="BM73" s="215" t="str">
        <f t="shared" si="43"/>
        <v/>
      </c>
      <c r="BN73" s="215" t="str">
        <f t="shared" si="44"/>
        <v/>
      </c>
      <c r="BO73" s="215" t="str">
        <f t="shared" si="45"/>
        <v/>
      </c>
      <c r="BP73" s="215" t="str">
        <f t="shared" si="46"/>
        <v/>
      </c>
      <c r="BQ73" s="215" t="str">
        <f t="shared" si="47"/>
        <v/>
      </c>
      <c r="BR73" s="215" t="str">
        <f t="shared" si="48"/>
        <v/>
      </c>
      <c r="BS73" s="215" t="str">
        <f t="shared" si="49"/>
        <v/>
      </c>
      <c r="BT73" s="215" t="str">
        <f t="shared" si="50"/>
        <v/>
      </c>
      <c r="BU73" s="211" t="str">
        <f t="shared" si="51"/>
        <v/>
      </c>
      <c r="BV73" s="212" t="str">
        <f t="shared" si="52"/>
        <v/>
      </c>
      <c r="BW73" s="215" t="s">
        <v>193</v>
      </c>
      <c r="BX73" s="215">
        <f>BI64</f>
        <v>0</v>
      </c>
    </row>
    <row r="74" ht="14.25" customHeight="1">
      <c r="A74" s="1"/>
      <c r="B74" s="221">
        <v>9.0</v>
      </c>
      <c r="C74" s="376" t="str">
        <f t="shared" si="14"/>
        <v/>
      </c>
      <c r="D74" s="352" t="str">
        <f t="shared" si="15"/>
        <v/>
      </c>
      <c r="E74" s="377" t="str">
        <f t="shared" si="16"/>
        <v/>
      </c>
      <c r="F74" s="222"/>
      <c r="G74" s="43"/>
      <c r="H74" s="354" t="str">
        <f t="shared" si="17"/>
        <v/>
      </c>
      <c r="I74" s="564" t="str">
        <f t="shared" si="18"/>
        <v/>
      </c>
      <c r="J74" s="565" t="str">
        <f>IFERROR(IF(F74="","",VLOOKUP(F74,'10. Condition and Temporal'!$B$6:$F$103,5,FALSE)), "Error ▲")</f>
        <v/>
      </c>
      <c r="K74" s="359"/>
      <c r="L74" s="357" t="str">
        <f t="shared" si="19"/>
        <v/>
      </c>
      <c r="M74" s="358" t="str">
        <f t="shared" si="20"/>
        <v/>
      </c>
      <c r="N74" s="359"/>
      <c r="O74" s="378"/>
      <c r="P74" s="300"/>
      <c r="Q74" s="1"/>
      <c r="R74" s="161"/>
      <c r="S74" s="1"/>
      <c r="T74" s="361" t="str">
        <f t="shared" si="21"/>
        <v/>
      </c>
      <c r="U74" s="379" t="str">
        <f t="shared" si="22"/>
        <v/>
      </c>
      <c r="V74" s="380" t="str">
        <f t="shared" ref="V74:X74" si="59">IF($D74="","",V19)</f>
        <v/>
      </c>
      <c r="W74" s="379" t="str">
        <f t="shared" si="59"/>
        <v/>
      </c>
      <c r="X74" s="215" t="str">
        <f t="shared" si="59"/>
        <v/>
      </c>
      <c r="Y74" s="365"/>
      <c r="Z74" s="365"/>
      <c r="AA74" s="365"/>
      <c r="AB74" s="215" t="str">
        <f t="shared" si="24"/>
        <v/>
      </c>
      <c r="AC74" s="558" t="str">
        <f t="shared" si="25"/>
        <v/>
      </c>
      <c r="AD74" s="380" t="str">
        <f t="shared" si="26"/>
        <v/>
      </c>
      <c r="AE74" s="559" t="str">
        <f t="shared" si="27"/>
        <v/>
      </c>
      <c r="AF74" s="560" t="str">
        <f t="shared" si="28"/>
        <v/>
      </c>
      <c r="AG74" s="379" t="str">
        <f>IF(D74="","",VLOOKUP(F74,'9. All Habitats + Multipliers'!$C$4:$K$102,5,FALSE))</f>
        <v/>
      </c>
      <c r="AH74" s="380" t="str">
        <f>IF(AG74="","",VLOOKUP(AG74,'11. Lists'!$S$47:$U$50,2,FALSE))</f>
        <v/>
      </c>
      <c r="AI74" s="560" t="str">
        <f t="shared" si="29"/>
        <v/>
      </c>
      <c r="AJ74" s="214" t="str">
        <f>IF(AI74="","",VLOOKUP(AI74,'11. Lists'!$F$47:$G$51,2,FALSE))</f>
        <v/>
      </c>
      <c r="AK74" s="365"/>
      <c r="AL74" s="365"/>
      <c r="AM74" s="365"/>
      <c r="AN74" s="211" t="str">
        <f t="shared" si="30"/>
        <v/>
      </c>
      <c r="AO74" s="561" t="str">
        <f>IF(AN74="","",VLOOKUP(AN74,'11. Lists'!$F$36:$H$38,2,FALSE))</f>
        <v/>
      </c>
      <c r="AP74" s="380" t="str">
        <f>IF(AN74="","",VLOOKUP(AN74,'11. Lists'!$F$36:$H$38,3,FALSE))</f>
        <v/>
      </c>
      <c r="AQ74" s="379" t="str">
        <f>IF(D74="","",IF(AX74="Distinctiveness","N/A",VLOOKUP(F74,'10. Condition and Temporal'!$B$6:$L$103,11,FALSE)))</f>
        <v/>
      </c>
      <c r="AR74" s="382" t="str">
        <f>IF(AQ74="","",IF(AQ74="N/A","1",VLOOKUP(AQ74,'11. Lists'!$I$47:$K$80,3,FALSE)))</f>
        <v/>
      </c>
      <c r="AS74" s="562" t="str">
        <f>IF(D74="","",IF(AX74="Condition","N/A",VLOOKUP(F74,'10. Condition and Temporal'!$B$6:$M$106,12,FALSE)))</f>
        <v/>
      </c>
      <c r="AT74" s="382" t="str">
        <f>IF(AS74="","",IF(AS74="N/A","1",VLOOKUP(AS74,'11. Lists'!$I$47:$K$80,3,FALSE)))</f>
        <v/>
      </c>
      <c r="AU74" s="561" t="str">
        <f>IF(D74="","",VLOOKUP(F74,'9. All Habitats + Multipliers'!$C$4:$K$102,8,FALSE))</f>
        <v/>
      </c>
      <c r="AV74" s="380" t="str">
        <f>IF(AU74="","",VLOOKUP(AU74,'11. Lists'!$J$35:$K$38,2,FALSE))</f>
        <v/>
      </c>
      <c r="AW74" s="379" t="str">
        <f>IF(D74="","",VLOOKUP(D74,'10. Condition and Temporal'!$B$6:$M$103,4,FALSE))</f>
        <v/>
      </c>
      <c r="AX74" s="380" t="str">
        <f t="shared" si="31"/>
        <v/>
      </c>
      <c r="AY74" s="1"/>
      <c r="AZ74" s="563"/>
      <c r="BA74" s="214">
        <v>9.0</v>
      </c>
      <c r="BB74" s="215" t="str">
        <f t="shared" si="32"/>
        <v/>
      </c>
      <c r="BC74" s="215" t="str">
        <f t="shared" si="33"/>
        <v/>
      </c>
      <c r="BD74" s="215" t="str">
        <f t="shared" si="34"/>
        <v/>
      </c>
      <c r="BE74" s="215" t="str">
        <f t="shared" si="35"/>
        <v/>
      </c>
      <c r="BF74" s="215" t="str">
        <f t="shared" si="36"/>
        <v/>
      </c>
      <c r="BG74" s="215" t="str">
        <f t="shared" si="37"/>
        <v/>
      </c>
      <c r="BH74" s="215" t="str">
        <f t="shared" si="38"/>
        <v/>
      </c>
      <c r="BI74" s="215" t="str">
        <f t="shared" si="39"/>
        <v/>
      </c>
      <c r="BJ74" s="215" t="str">
        <f t="shared" si="40"/>
        <v/>
      </c>
      <c r="BK74" s="215" t="str">
        <f t="shared" si="41"/>
        <v/>
      </c>
      <c r="BL74" s="215" t="str">
        <f t="shared" si="42"/>
        <v/>
      </c>
      <c r="BM74" s="215" t="str">
        <f t="shared" si="43"/>
        <v/>
      </c>
      <c r="BN74" s="215" t="str">
        <f t="shared" si="44"/>
        <v/>
      </c>
      <c r="BO74" s="215" t="str">
        <f t="shared" si="45"/>
        <v/>
      </c>
      <c r="BP74" s="215" t="str">
        <f t="shared" si="46"/>
        <v/>
      </c>
      <c r="BQ74" s="215" t="str">
        <f t="shared" si="47"/>
        <v/>
      </c>
      <c r="BR74" s="215" t="str">
        <f t="shared" si="48"/>
        <v/>
      </c>
      <c r="BS74" s="215" t="str">
        <f t="shared" si="49"/>
        <v/>
      </c>
      <c r="BT74" s="215" t="str">
        <f t="shared" si="50"/>
        <v/>
      </c>
      <c r="BU74" s="211" t="str">
        <f t="shared" si="51"/>
        <v/>
      </c>
      <c r="BV74" s="212" t="str">
        <f t="shared" si="52"/>
        <v/>
      </c>
      <c r="BW74" s="215" t="s">
        <v>194</v>
      </c>
      <c r="BX74" s="215">
        <f>BJ64</f>
        <v>0</v>
      </c>
    </row>
    <row r="75" ht="14.25" customHeight="1">
      <c r="A75" s="1"/>
      <c r="B75" s="221">
        <v>10.0</v>
      </c>
      <c r="C75" s="376" t="str">
        <f t="shared" si="14"/>
        <v/>
      </c>
      <c r="D75" s="352" t="str">
        <f t="shared" si="15"/>
        <v/>
      </c>
      <c r="E75" s="377" t="str">
        <f t="shared" si="16"/>
        <v/>
      </c>
      <c r="F75" s="222"/>
      <c r="G75" s="43"/>
      <c r="H75" s="354" t="str">
        <f t="shared" si="17"/>
        <v/>
      </c>
      <c r="I75" s="564" t="str">
        <f t="shared" si="18"/>
        <v/>
      </c>
      <c r="J75" s="565" t="str">
        <f>IFERROR(IF(F75="","",VLOOKUP(F75,'10. Condition and Temporal'!$B$6:$F$103,5,FALSE)), "Error ▲")</f>
        <v/>
      </c>
      <c r="K75" s="359"/>
      <c r="L75" s="357" t="str">
        <f t="shared" si="19"/>
        <v/>
      </c>
      <c r="M75" s="358" t="str">
        <f t="shared" si="20"/>
        <v/>
      </c>
      <c r="N75" s="359"/>
      <c r="O75" s="378"/>
      <c r="P75" s="300"/>
      <c r="Q75" s="1"/>
      <c r="R75" s="161"/>
      <c r="S75" s="1"/>
      <c r="T75" s="361" t="str">
        <f t="shared" si="21"/>
        <v/>
      </c>
      <c r="U75" s="379" t="str">
        <f t="shared" si="22"/>
        <v/>
      </c>
      <c r="V75" s="380" t="str">
        <f t="shared" ref="V75:X75" si="60">IF($D75="","",V20)</f>
        <v/>
      </c>
      <c r="W75" s="379" t="str">
        <f t="shared" si="60"/>
        <v/>
      </c>
      <c r="X75" s="215" t="str">
        <f t="shared" si="60"/>
        <v/>
      </c>
      <c r="Y75" s="365"/>
      <c r="Z75" s="365"/>
      <c r="AA75" s="365"/>
      <c r="AB75" s="215" t="str">
        <f t="shared" si="24"/>
        <v/>
      </c>
      <c r="AC75" s="558" t="str">
        <f t="shared" si="25"/>
        <v/>
      </c>
      <c r="AD75" s="380" t="str">
        <f t="shared" si="26"/>
        <v/>
      </c>
      <c r="AE75" s="559" t="str">
        <f t="shared" si="27"/>
        <v/>
      </c>
      <c r="AF75" s="560" t="str">
        <f t="shared" si="28"/>
        <v/>
      </c>
      <c r="AG75" s="379" t="str">
        <f>IF(D75="","",VLOOKUP(F75,'9. All Habitats + Multipliers'!$C$4:$K$102,5,FALSE))</f>
        <v/>
      </c>
      <c r="AH75" s="380" t="str">
        <f>IF(AG75="","",VLOOKUP(AG75,'11. Lists'!$S$47:$U$50,2,FALSE))</f>
        <v/>
      </c>
      <c r="AI75" s="560" t="str">
        <f t="shared" si="29"/>
        <v/>
      </c>
      <c r="AJ75" s="214" t="str">
        <f>IF(AI75="","",VLOOKUP(AI75,'11. Lists'!$F$47:$G$51,2,FALSE))</f>
        <v/>
      </c>
      <c r="AK75" s="365"/>
      <c r="AL75" s="365"/>
      <c r="AM75" s="365"/>
      <c r="AN75" s="211" t="str">
        <f t="shared" si="30"/>
        <v/>
      </c>
      <c r="AO75" s="561" t="str">
        <f>IF(AN75="","",VLOOKUP(AN75,'11. Lists'!$F$36:$H$38,2,FALSE))</f>
        <v/>
      </c>
      <c r="AP75" s="380" t="str">
        <f>IF(AN75="","",VLOOKUP(AN75,'11. Lists'!$F$36:$H$38,3,FALSE))</f>
        <v/>
      </c>
      <c r="AQ75" s="379" t="str">
        <f>IF(D75="","",IF(AX75="Distinctiveness","N/A",VLOOKUP(F75,'10. Condition and Temporal'!$B$6:$L$103,11,FALSE)))</f>
        <v/>
      </c>
      <c r="AR75" s="382" t="str">
        <f>IF(AQ75="","",IF(AQ75="N/A","1",VLOOKUP(AQ75,'11. Lists'!$I$47:$K$80,3,FALSE)))</f>
        <v/>
      </c>
      <c r="AS75" s="562" t="str">
        <f>IF(D75="","",IF(AX75="Condition","N/A",VLOOKUP(F75,'10. Condition and Temporal'!$B$6:$M$106,12,FALSE)))</f>
        <v/>
      </c>
      <c r="AT75" s="382" t="str">
        <f>IF(AS75="","",IF(AS75="N/A","1",VLOOKUP(AS75,'11. Lists'!$I$47:$K$80,3,FALSE)))</f>
        <v/>
      </c>
      <c r="AU75" s="561" t="str">
        <f>IF(D75="","",VLOOKUP(F75,'9. All Habitats + Multipliers'!$C$4:$K$102,8,FALSE))</f>
        <v/>
      </c>
      <c r="AV75" s="380" t="str">
        <f>IF(AU75="","",VLOOKUP(AU75,'11. Lists'!$J$35:$K$38,2,FALSE))</f>
        <v/>
      </c>
      <c r="AW75" s="379" t="str">
        <f>IF(D75="","",VLOOKUP(D75,'10. Condition and Temporal'!$B$6:$M$103,4,FALSE))</f>
        <v/>
      </c>
      <c r="AX75" s="380" t="str">
        <f t="shared" si="31"/>
        <v/>
      </c>
      <c r="AY75" s="1"/>
      <c r="AZ75" s="563"/>
      <c r="BA75" s="214">
        <v>10.0</v>
      </c>
      <c r="BB75" s="215" t="str">
        <f t="shared" si="32"/>
        <v/>
      </c>
      <c r="BC75" s="215" t="str">
        <f t="shared" si="33"/>
        <v/>
      </c>
      <c r="BD75" s="215" t="str">
        <f t="shared" si="34"/>
        <v/>
      </c>
      <c r="BE75" s="215" t="str">
        <f t="shared" si="35"/>
        <v/>
      </c>
      <c r="BF75" s="215" t="str">
        <f t="shared" si="36"/>
        <v/>
      </c>
      <c r="BG75" s="215" t="str">
        <f t="shared" si="37"/>
        <v/>
      </c>
      <c r="BH75" s="215" t="str">
        <f t="shared" si="38"/>
        <v/>
      </c>
      <c r="BI75" s="215" t="str">
        <f t="shared" si="39"/>
        <v/>
      </c>
      <c r="BJ75" s="215" t="str">
        <f t="shared" si="40"/>
        <v/>
      </c>
      <c r="BK75" s="215" t="str">
        <f t="shared" si="41"/>
        <v/>
      </c>
      <c r="BL75" s="215" t="str">
        <f t="shared" si="42"/>
        <v/>
      </c>
      <c r="BM75" s="215" t="str">
        <f t="shared" si="43"/>
        <v/>
      </c>
      <c r="BN75" s="215" t="str">
        <f t="shared" si="44"/>
        <v/>
      </c>
      <c r="BO75" s="215" t="str">
        <f t="shared" si="45"/>
        <v/>
      </c>
      <c r="BP75" s="215" t="str">
        <f t="shared" si="46"/>
        <v/>
      </c>
      <c r="BQ75" s="215" t="str">
        <f t="shared" si="47"/>
        <v/>
      </c>
      <c r="BR75" s="215" t="str">
        <f t="shared" si="48"/>
        <v/>
      </c>
      <c r="BS75" s="215" t="str">
        <f t="shared" si="49"/>
        <v/>
      </c>
      <c r="BT75" s="215" t="str">
        <f t="shared" si="50"/>
        <v/>
      </c>
      <c r="BU75" s="211" t="str">
        <f t="shared" si="51"/>
        <v/>
      </c>
      <c r="BV75" s="212" t="str">
        <f t="shared" si="52"/>
        <v/>
      </c>
      <c r="BW75" s="215" t="s">
        <v>195</v>
      </c>
      <c r="BX75" s="215">
        <f>BK64</f>
        <v>0</v>
      </c>
    </row>
    <row r="76" ht="14.25" customHeight="1">
      <c r="A76" s="1"/>
      <c r="B76" s="221">
        <v>11.0</v>
      </c>
      <c r="C76" s="376" t="str">
        <f t="shared" si="14"/>
        <v/>
      </c>
      <c r="D76" s="352" t="str">
        <f t="shared" si="15"/>
        <v/>
      </c>
      <c r="E76" s="377" t="str">
        <f t="shared" si="16"/>
        <v/>
      </c>
      <c r="F76" s="222"/>
      <c r="G76" s="43"/>
      <c r="H76" s="354" t="str">
        <f t="shared" si="17"/>
        <v/>
      </c>
      <c r="I76" s="564" t="str">
        <f t="shared" si="18"/>
        <v/>
      </c>
      <c r="J76" s="565" t="str">
        <f>IFERROR(IF(F76="","",VLOOKUP(F76,'10. Condition and Temporal'!$B$6:$F$103,5,FALSE)), "Error ▲")</f>
        <v/>
      </c>
      <c r="K76" s="359"/>
      <c r="L76" s="357" t="str">
        <f t="shared" si="19"/>
        <v/>
      </c>
      <c r="M76" s="358" t="str">
        <f t="shared" si="20"/>
        <v/>
      </c>
      <c r="N76" s="359"/>
      <c r="O76" s="378"/>
      <c r="P76" s="300"/>
      <c r="Q76" s="1"/>
      <c r="R76" s="161"/>
      <c r="S76" s="1"/>
      <c r="T76" s="361" t="str">
        <f t="shared" si="21"/>
        <v/>
      </c>
      <c r="U76" s="379" t="str">
        <f t="shared" si="22"/>
        <v/>
      </c>
      <c r="V76" s="380" t="str">
        <f t="shared" ref="V76:X76" si="61">IF($D76="","",V21)</f>
        <v/>
      </c>
      <c r="W76" s="379" t="str">
        <f t="shared" si="61"/>
        <v/>
      </c>
      <c r="X76" s="215" t="str">
        <f t="shared" si="61"/>
        <v/>
      </c>
      <c r="Y76" s="365"/>
      <c r="Z76" s="365"/>
      <c r="AA76" s="365"/>
      <c r="AB76" s="215" t="str">
        <f t="shared" si="24"/>
        <v/>
      </c>
      <c r="AC76" s="558" t="str">
        <f t="shared" si="25"/>
        <v/>
      </c>
      <c r="AD76" s="380" t="str">
        <f t="shared" si="26"/>
        <v/>
      </c>
      <c r="AE76" s="559" t="str">
        <f t="shared" si="27"/>
        <v/>
      </c>
      <c r="AF76" s="560" t="str">
        <f t="shared" si="28"/>
        <v/>
      </c>
      <c r="AG76" s="379" t="str">
        <f>IF(D76="","",VLOOKUP(F76,'9. All Habitats + Multipliers'!$C$4:$K$102,5,FALSE))</f>
        <v/>
      </c>
      <c r="AH76" s="380" t="str">
        <f>IF(AG76="","",VLOOKUP(AG76,'11. Lists'!$S$47:$U$50,2,FALSE))</f>
        <v/>
      </c>
      <c r="AI76" s="560" t="str">
        <f t="shared" si="29"/>
        <v/>
      </c>
      <c r="AJ76" s="214" t="str">
        <f>IF(AI76="","",VLOOKUP(AI76,'11. Lists'!$F$47:$G$51,2,FALSE))</f>
        <v/>
      </c>
      <c r="AK76" s="365"/>
      <c r="AL76" s="365"/>
      <c r="AM76" s="365"/>
      <c r="AN76" s="211" t="str">
        <f t="shared" si="30"/>
        <v/>
      </c>
      <c r="AO76" s="561" t="str">
        <f>IF(AN76="","",VLOOKUP(AN76,'11. Lists'!$F$36:$H$38,2,FALSE))</f>
        <v/>
      </c>
      <c r="AP76" s="380" t="str">
        <f>IF(AN76="","",VLOOKUP(AN76,'11. Lists'!$F$36:$H$38,3,FALSE))</f>
        <v/>
      </c>
      <c r="AQ76" s="379" t="str">
        <f>IF(D76="","",IF(AX76="Distinctiveness","N/A",VLOOKUP(F76,'10. Condition and Temporal'!$B$6:$L$103,11,FALSE)))</f>
        <v/>
      </c>
      <c r="AR76" s="382" t="str">
        <f>IF(AQ76="","",IF(AQ76="N/A","1",VLOOKUP(AQ76,'11. Lists'!$I$47:$K$80,3,FALSE)))</f>
        <v/>
      </c>
      <c r="AS76" s="562" t="str">
        <f>IF(D76="","",IF(AX76="Condition","N/A",VLOOKUP(F76,'10. Condition and Temporal'!$B$6:$M$106,12,FALSE)))</f>
        <v/>
      </c>
      <c r="AT76" s="382" t="str">
        <f>IF(AS76="","",IF(AS76="N/A","1",VLOOKUP(AS76,'11. Lists'!$I$47:$K$80,3,FALSE)))</f>
        <v/>
      </c>
      <c r="AU76" s="561" t="str">
        <f>IF(D76="","",VLOOKUP(F76,'9. All Habitats + Multipliers'!$C$4:$K$102,8,FALSE))</f>
        <v/>
      </c>
      <c r="AV76" s="380" t="str">
        <f>IF(AU76="","",VLOOKUP(AU76,'11. Lists'!$J$35:$K$38,2,FALSE))</f>
        <v/>
      </c>
      <c r="AW76" s="379" t="str">
        <f>IF(D76="","",VLOOKUP(D76,'10. Condition and Temporal'!$B$6:$M$103,4,FALSE))</f>
        <v/>
      </c>
      <c r="AX76" s="380" t="str">
        <f t="shared" si="31"/>
        <v/>
      </c>
      <c r="AY76" s="1"/>
      <c r="AZ76" s="563"/>
      <c r="BA76" s="214">
        <v>11.0</v>
      </c>
      <c r="BB76" s="215" t="str">
        <f t="shared" si="32"/>
        <v/>
      </c>
      <c r="BC76" s="215" t="str">
        <f t="shared" si="33"/>
        <v/>
      </c>
      <c r="BD76" s="215" t="str">
        <f t="shared" si="34"/>
        <v/>
      </c>
      <c r="BE76" s="215" t="str">
        <f t="shared" si="35"/>
        <v/>
      </c>
      <c r="BF76" s="215" t="str">
        <f t="shared" si="36"/>
        <v/>
      </c>
      <c r="BG76" s="215" t="str">
        <f t="shared" si="37"/>
        <v/>
      </c>
      <c r="BH76" s="215" t="str">
        <f t="shared" si="38"/>
        <v/>
      </c>
      <c r="BI76" s="215" t="str">
        <f t="shared" si="39"/>
        <v/>
      </c>
      <c r="BJ76" s="215" t="str">
        <f t="shared" si="40"/>
        <v/>
      </c>
      <c r="BK76" s="215" t="str">
        <f t="shared" si="41"/>
        <v/>
      </c>
      <c r="BL76" s="215" t="str">
        <f t="shared" si="42"/>
        <v/>
      </c>
      <c r="BM76" s="215" t="str">
        <f t="shared" si="43"/>
        <v/>
      </c>
      <c r="BN76" s="215" t="str">
        <f t="shared" si="44"/>
        <v/>
      </c>
      <c r="BO76" s="215" t="str">
        <f t="shared" si="45"/>
        <v/>
      </c>
      <c r="BP76" s="215" t="str">
        <f t="shared" si="46"/>
        <v/>
      </c>
      <c r="BQ76" s="215" t="str">
        <f t="shared" si="47"/>
        <v/>
      </c>
      <c r="BR76" s="215" t="str">
        <f t="shared" si="48"/>
        <v/>
      </c>
      <c r="BS76" s="215" t="str">
        <f t="shared" si="49"/>
        <v/>
      </c>
      <c r="BT76" s="215" t="str">
        <f t="shared" si="50"/>
        <v/>
      </c>
      <c r="BU76" s="211" t="str">
        <f t="shared" si="51"/>
        <v/>
      </c>
      <c r="BV76" s="212" t="str">
        <f t="shared" si="52"/>
        <v/>
      </c>
      <c r="BW76" s="215" t="s">
        <v>196</v>
      </c>
      <c r="BX76" s="215">
        <f>BL64</f>
        <v>0</v>
      </c>
    </row>
    <row r="77" ht="14.25" customHeight="1">
      <c r="A77" s="1"/>
      <c r="B77" s="221">
        <v>12.0</v>
      </c>
      <c r="C77" s="376" t="str">
        <f t="shared" si="14"/>
        <v/>
      </c>
      <c r="D77" s="352" t="str">
        <f t="shared" si="15"/>
        <v/>
      </c>
      <c r="E77" s="377" t="str">
        <f t="shared" si="16"/>
        <v/>
      </c>
      <c r="F77" s="222"/>
      <c r="G77" s="43"/>
      <c r="H77" s="354" t="str">
        <f t="shared" si="17"/>
        <v/>
      </c>
      <c r="I77" s="564" t="str">
        <f t="shared" si="18"/>
        <v/>
      </c>
      <c r="J77" s="565" t="str">
        <f>IFERROR(IF(F77="","",VLOOKUP(F77,'10. Condition and Temporal'!$B$6:$F$103,5,FALSE)), "Error ▲")</f>
        <v/>
      </c>
      <c r="K77" s="359"/>
      <c r="L77" s="357" t="str">
        <f t="shared" si="19"/>
        <v/>
      </c>
      <c r="M77" s="358" t="str">
        <f t="shared" si="20"/>
        <v/>
      </c>
      <c r="N77" s="359"/>
      <c r="O77" s="378"/>
      <c r="P77" s="300"/>
      <c r="Q77" s="1"/>
      <c r="R77" s="161"/>
      <c r="S77" s="1"/>
      <c r="T77" s="361" t="str">
        <f t="shared" si="21"/>
        <v/>
      </c>
      <c r="U77" s="379" t="str">
        <f t="shared" si="22"/>
        <v/>
      </c>
      <c r="V77" s="380" t="str">
        <f t="shared" ref="V77:X77" si="62">IF($D77="","",V22)</f>
        <v/>
      </c>
      <c r="W77" s="379" t="str">
        <f t="shared" si="62"/>
        <v/>
      </c>
      <c r="X77" s="215" t="str">
        <f t="shared" si="62"/>
        <v/>
      </c>
      <c r="Y77" s="365"/>
      <c r="Z77" s="365"/>
      <c r="AA77" s="365"/>
      <c r="AB77" s="215" t="str">
        <f t="shared" si="24"/>
        <v/>
      </c>
      <c r="AC77" s="558" t="str">
        <f t="shared" si="25"/>
        <v/>
      </c>
      <c r="AD77" s="380" t="str">
        <f t="shared" si="26"/>
        <v/>
      </c>
      <c r="AE77" s="559" t="str">
        <f t="shared" si="27"/>
        <v/>
      </c>
      <c r="AF77" s="560" t="str">
        <f t="shared" si="28"/>
        <v/>
      </c>
      <c r="AG77" s="379" t="str">
        <f>IF(D77="","",VLOOKUP(F77,'9. All Habitats + Multipliers'!$C$4:$K$102,5,FALSE))</f>
        <v/>
      </c>
      <c r="AH77" s="380" t="str">
        <f>IF(AG77="","",VLOOKUP(AG77,'11. Lists'!$S$47:$U$50,2,FALSE))</f>
        <v/>
      </c>
      <c r="AI77" s="560" t="str">
        <f t="shared" si="29"/>
        <v/>
      </c>
      <c r="AJ77" s="214" t="str">
        <f>IF(AI77="","",VLOOKUP(AI77,'11. Lists'!$F$47:$G$51,2,FALSE))</f>
        <v/>
      </c>
      <c r="AK77" s="365"/>
      <c r="AL77" s="365"/>
      <c r="AM77" s="365"/>
      <c r="AN77" s="211" t="str">
        <f t="shared" si="30"/>
        <v/>
      </c>
      <c r="AO77" s="561" t="str">
        <f>IF(AN77="","",VLOOKUP(AN77,'11. Lists'!$F$36:$H$38,2,FALSE))</f>
        <v/>
      </c>
      <c r="AP77" s="380" t="str">
        <f>IF(AN77="","",VLOOKUP(AN77,'11. Lists'!$F$36:$H$38,3,FALSE))</f>
        <v/>
      </c>
      <c r="AQ77" s="379" t="str">
        <f>IF(D77="","",IF(AX77="Distinctiveness","N/A",VLOOKUP(F77,'10. Condition and Temporal'!$B$6:$L$103,11,FALSE)))</f>
        <v/>
      </c>
      <c r="AR77" s="382" t="str">
        <f>IF(AQ77="","",IF(AQ77="N/A","1",VLOOKUP(AQ77,'11. Lists'!$I$47:$K$80,3,FALSE)))</f>
        <v/>
      </c>
      <c r="AS77" s="562" t="str">
        <f>IF(D77="","",IF(AX77="Condition","N/A",VLOOKUP(F77,'10. Condition and Temporal'!$B$6:$M$106,12,FALSE)))</f>
        <v/>
      </c>
      <c r="AT77" s="382" t="str">
        <f>IF(AS77="","",IF(AS77="N/A","1",VLOOKUP(AS77,'11. Lists'!$I$47:$K$80,3,FALSE)))</f>
        <v/>
      </c>
      <c r="AU77" s="561" t="str">
        <f>IF(D77="","",VLOOKUP(F77,'9. All Habitats + Multipliers'!$C$4:$K$102,8,FALSE))</f>
        <v/>
      </c>
      <c r="AV77" s="380" t="str">
        <f>IF(AU77="","",VLOOKUP(AU77,'11. Lists'!$J$35:$K$38,2,FALSE))</f>
        <v/>
      </c>
      <c r="AW77" s="379" t="str">
        <f>IF(D77="","",VLOOKUP(D77,'10. Condition and Temporal'!$B$6:$M$103,4,FALSE))</f>
        <v/>
      </c>
      <c r="AX77" s="380" t="str">
        <f t="shared" si="31"/>
        <v/>
      </c>
      <c r="AY77" s="1"/>
      <c r="AZ77" s="563"/>
      <c r="BA77" s="214">
        <v>12.0</v>
      </c>
      <c r="BB77" s="215" t="str">
        <f t="shared" si="32"/>
        <v/>
      </c>
      <c r="BC77" s="215" t="str">
        <f t="shared" si="33"/>
        <v/>
      </c>
      <c r="BD77" s="215" t="str">
        <f t="shared" si="34"/>
        <v/>
      </c>
      <c r="BE77" s="215" t="str">
        <f t="shared" si="35"/>
        <v/>
      </c>
      <c r="BF77" s="215" t="str">
        <f t="shared" si="36"/>
        <v/>
      </c>
      <c r="BG77" s="215" t="str">
        <f t="shared" si="37"/>
        <v/>
      </c>
      <c r="BH77" s="215" t="str">
        <f t="shared" si="38"/>
        <v/>
      </c>
      <c r="BI77" s="215" t="str">
        <f t="shared" si="39"/>
        <v/>
      </c>
      <c r="BJ77" s="215" t="str">
        <f t="shared" si="40"/>
        <v/>
      </c>
      <c r="BK77" s="215" t="str">
        <f t="shared" si="41"/>
        <v/>
      </c>
      <c r="BL77" s="215" t="str">
        <f t="shared" si="42"/>
        <v/>
      </c>
      <c r="BM77" s="215" t="str">
        <f t="shared" si="43"/>
        <v/>
      </c>
      <c r="BN77" s="215" t="str">
        <f t="shared" si="44"/>
        <v/>
      </c>
      <c r="BO77" s="215" t="str">
        <f t="shared" si="45"/>
        <v/>
      </c>
      <c r="BP77" s="215" t="str">
        <f t="shared" si="46"/>
        <v/>
      </c>
      <c r="BQ77" s="215" t="str">
        <f t="shared" si="47"/>
        <v/>
      </c>
      <c r="BR77" s="215" t="str">
        <f t="shared" si="48"/>
        <v/>
      </c>
      <c r="BS77" s="215" t="str">
        <f t="shared" si="49"/>
        <v/>
      </c>
      <c r="BT77" s="215" t="str">
        <f t="shared" si="50"/>
        <v/>
      </c>
      <c r="BU77" s="211" t="str">
        <f t="shared" si="51"/>
        <v/>
      </c>
      <c r="BV77" s="212" t="str">
        <f t="shared" si="52"/>
        <v/>
      </c>
      <c r="BW77" s="215" t="s">
        <v>197</v>
      </c>
      <c r="BX77" s="215">
        <f>BM64</f>
        <v>0</v>
      </c>
    </row>
    <row r="78" ht="14.25" customHeight="1">
      <c r="A78" s="1"/>
      <c r="B78" s="221">
        <v>13.0</v>
      </c>
      <c r="C78" s="376" t="str">
        <f t="shared" si="14"/>
        <v/>
      </c>
      <c r="D78" s="352" t="str">
        <f t="shared" si="15"/>
        <v/>
      </c>
      <c r="E78" s="377" t="str">
        <f t="shared" si="16"/>
        <v/>
      </c>
      <c r="F78" s="222"/>
      <c r="G78" s="43"/>
      <c r="H78" s="354" t="str">
        <f t="shared" si="17"/>
        <v/>
      </c>
      <c r="I78" s="564" t="str">
        <f t="shared" si="18"/>
        <v/>
      </c>
      <c r="J78" s="565" t="str">
        <f>IFERROR(IF(F78="","",VLOOKUP(F78,'10. Condition and Temporal'!$B$6:$F$103,5,FALSE)), "Error ▲")</f>
        <v/>
      </c>
      <c r="K78" s="359"/>
      <c r="L78" s="357" t="str">
        <f t="shared" si="19"/>
        <v/>
      </c>
      <c r="M78" s="358" t="str">
        <f t="shared" si="20"/>
        <v/>
      </c>
      <c r="N78" s="359"/>
      <c r="O78" s="378"/>
      <c r="P78" s="300"/>
      <c r="Q78" s="1"/>
      <c r="R78" s="161"/>
      <c r="S78" s="1"/>
      <c r="T78" s="361" t="str">
        <f t="shared" si="21"/>
        <v/>
      </c>
      <c r="U78" s="379" t="str">
        <f t="shared" si="22"/>
        <v/>
      </c>
      <c r="V78" s="380" t="str">
        <f t="shared" ref="V78:X78" si="63">IF($D78="","",V23)</f>
        <v/>
      </c>
      <c r="W78" s="379" t="str">
        <f t="shared" si="63"/>
        <v/>
      </c>
      <c r="X78" s="215" t="str">
        <f t="shared" si="63"/>
        <v/>
      </c>
      <c r="Y78" s="365"/>
      <c r="Z78" s="365"/>
      <c r="AA78" s="365"/>
      <c r="AB78" s="215" t="str">
        <f t="shared" si="24"/>
        <v/>
      </c>
      <c r="AC78" s="558" t="str">
        <f t="shared" si="25"/>
        <v/>
      </c>
      <c r="AD78" s="380" t="str">
        <f t="shared" si="26"/>
        <v/>
      </c>
      <c r="AE78" s="559" t="str">
        <f t="shared" si="27"/>
        <v/>
      </c>
      <c r="AF78" s="560" t="str">
        <f t="shared" si="28"/>
        <v/>
      </c>
      <c r="AG78" s="379" t="str">
        <f>IF(D78="","",VLOOKUP(F78,'9. All Habitats + Multipliers'!$C$4:$K$102,5,FALSE))</f>
        <v/>
      </c>
      <c r="AH78" s="380" t="str">
        <f>IF(AG78="","",VLOOKUP(AG78,'11. Lists'!$S$47:$U$50,2,FALSE))</f>
        <v/>
      </c>
      <c r="AI78" s="560" t="str">
        <f t="shared" si="29"/>
        <v/>
      </c>
      <c r="AJ78" s="214" t="str">
        <f>IF(AI78="","",VLOOKUP(AI78,'11. Lists'!$F$47:$G$51,2,FALSE))</f>
        <v/>
      </c>
      <c r="AK78" s="365"/>
      <c r="AL78" s="365"/>
      <c r="AM78" s="365"/>
      <c r="AN78" s="211" t="str">
        <f t="shared" si="30"/>
        <v/>
      </c>
      <c r="AO78" s="561" t="str">
        <f>IF(AN78="","",VLOOKUP(AN78,'11. Lists'!$F$36:$H$38,2,FALSE))</f>
        <v/>
      </c>
      <c r="AP78" s="380" t="str">
        <f>IF(AN78="","",VLOOKUP(AN78,'11. Lists'!$F$36:$H$38,3,FALSE))</f>
        <v/>
      </c>
      <c r="AQ78" s="379" t="str">
        <f>IF(D78="","",IF(AX78="Distinctiveness","N/A",VLOOKUP(F78,'10. Condition and Temporal'!$B$6:$L$103,11,FALSE)))</f>
        <v/>
      </c>
      <c r="AR78" s="382" t="str">
        <f>IF(AQ78="","",IF(AQ78="N/A","1",VLOOKUP(AQ78,'11. Lists'!$I$47:$K$80,3,FALSE)))</f>
        <v/>
      </c>
      <c r="AS78" s="562" t="str">
        <f>IF(D78="","",IF(AX78="Condition","N/A",VLOOKUP(F78,'10. Condition and Temporal'!$B$6:$M$106,12,FALSE)))</f>
        <v/>
      </c>
      <c r="AT78" s="382" t="str">
        <f>IF(AS78="","",IF(AS78="N/A","1",VLOOKUP(AS78,'11. Lists'!$I$47:$K$80,3,FALSE)))</f>
        <v/>
      </c>
      <c r="AU78" s="561" t="str">
        <f>IF(D78="","",VLOOKUP(F78,'9. All Habitats + Multipliers'!$C$4:$K$102,8,FALSE))</f>
        <v/>
      </c>
      <c r="AV78" s="380" t="str">
        <f>IF(AU78="","",VLOOKUP(AU78,'11. Lists'!$J$35:$K$38,2,FALSE))</f>
        <v/>
      </c>
      <c r="AW78" s="379" t="str">
        <f>IF(D78="","",VLOOKUP(D78,'10. Condition and Temporal'!$B$6:$M$103,4,FALSE))</f>
        <v/>
      </c>
      <c r="AX78" s="380" t="str">
        <f t="shared" si="31"/>
        <v/>
      </c>
      <c r="AY78" s="1"/>
      <c r="AZ78" s="563"/>
      <c r="BA78" s="214">
        <v>13.0</v>
      </c>
      <c r="BB78" s="215" t="str">
        <f t="shared" si="32"/>
        <v/>
      </c>
      <c r="BC78" s="215" t="str">
        <f t="shared" si="33"/>
        <v/>
      </c>
      <c r="BD78" s="215" t="str">
        <f t="shared" si="34"/>
        <v/>
      </c>
      <c r="BE78" s="215" t="str">
        <f t="shared" si="35"/>
        <v/>
      </c>
      <c r="BF78" s="215" t="str">
        <f t="shared" si="36"/>
        <v/>
      </c>
      <c r="BG78" s="215" t="str">
        <f t="shared" si="37"/>
        <v/>
      </c>
      <c r="BH78" s="215" t="str">
        <f t="shared" si="38"/>
        <v/>
      </c>
      <c r="BI78" s="215" t="str">
        <f t="shared" si="39"/>
        <v/>
      </c>
      <c r="BJ78" s="215" t="str">
        <f t="shared" si="40"/>
        <v/>
      </c>
      <c r="BK78" s="215" t="str">
        <f t="shared" si="41"/>
        <v/>
      </c>
      <c r="BL78" s="215" t="str">
        <f t="shared" si="42"/>
        <v/>
      </c>
      <c r="BM78" s="215" t="str">
        <f t="shared" si="43"/>
        <v/>
      </c>
      <c r="BN78" s="215" t="str">
        <f t="shared" si="44"/>
        <v/>
      </c>
      <c r="BO78" s="215" t="str">
        <f t="shared" si="45"/>
        <v/>
      </c>
      <c r="BP78" s="215" t="str">
        <f t="shared" si="46"/>
        <v/>
      </c>
      <c r="BQ78" s="215" t="str">
        <f t="shared" si="47"/>
        <v/>
      </c>
      <c r="BR78" s="215" t="str">
        <f t="shared" si="48"/>
        <v/>
      </c>
      <c r="BS78" s="215" t="str">
        <f t="shared" si="49"/>
        <v/>
      </c>
      <c r="BT78" s="215" t="str">
        <f t="shared" si="50"/>
        <v/>
      </c>
      <c r="BU78" s="211" t="str">
        <f t="shared" si="51"/>
        <v/>
      </c>
      <c r="BV78" s="212" t="str">
        <f t="shared" si="52"/>
        <v/>
      </c>
      <c r="BW78" s="215" t="s">
        <v>198</v>
      </c>
      <c r="BX78" s="215">
        <f>BN64</f>
        <v>0</v>
      </c>
    </row>
    <row r="79" ht="14.25" customHeight="1">
      <c r="A79" s="1"/>
      <c r="B79" s="221">
        <v>14.0</v>
      </c>
      <c r="C79" s="376" t="str">
        <f t="shared" si="14"/>
        <v/>
      </c>
      <c r="D79" s="352" t="str">
        <f t="shared" si="15"/>
        <v/>
      </c>
      <c r="E79" s="377" t="str">
        <f t="shared" si="16"/>
        <v/>
      </c>
      <c r="F79" s="222"/>
      <c r="G79" s="43"/>
      <c r="H79" s="354" t="str">
        <f t="shared" si="17"/>
        <v/>
      </c>
      <c r="I79" s="564" t="str">
        <f t="shared" si="18"/>
        <v/>
      </c>
      <c r="J79" s="565" t="str">
        <f>IFERROR(IF(F79="","",VLOOKUP(F79,'10. Condition and Temporal'!$B$6:$F$103,5,FALSE)), "Error ▲")</f>
        <v/>
      </c>
      <c r="K79" s="359"/>
      <c r="L79" s="357" t="str">
        <f t="shared" si="19"/>
        <v/>
      </c>
      <c r="M79" s="358" t="str">
        <f t="shared" si="20"/>
        <v/>
      </c>
      <c r="N79" s="359"/>
      <c r="O79" s="378"/>
      <c r="P79" s="300"/>
      <c r="Q79" s="1"/>
      <c r="R79" s="161"/>
      <c r="S79" s="1"/>
      <c r="T79" s="361" t="str">
        <f t="shared" si="21"/>
        <v/>
      </c>
      <c r="U79" s="379" t="str">
        <f t="shared" si="22"/>
        <v/>
      </c>
      <c r="V79" s="380" t="str">
        <f t="shared" ref="V79:X79" si="64">IF($D79="","",V24)</f>
        <v/>
      </c>
      <c r="W79" s="379" t="str">
        <f t="shared" si="64"/>
        <v/>
      </c>
      <c r="X79" s="215" t="str">
        <f t="shared" si="64"/>
        <v/>
      </c>
      <c r="Y79" s="365"/>
      <c r="Z79" s="365"/>
      <c r="AA79" s="365"/>
      <c r="AB79" s="215" t="str">
        <f t="shared" si="24"/>
        <v/>
      </c>
      <c r="AC79" s="558" t="str">
        <f t="shared" si="25"/>
        <v/>
      </c>
      <c r="AD79" s="380" t="str">
        <f t="shared" si="26"/>
        <v/>
      </c>
      <c r="AE79" s="559" t="str">
        <f t="shared" si="27"/>
        <v/>
      </c>
      <c r="AF79" s="560" t="str">
        <f t="shared" si="28"/>
        <v/>
      </c>
      <c r="AG79" s="379" t="str">
        <f>IF(D79="","",VLOOKUP(F79,'9. All Habitats + Multipliers'!$C$4:$K$102,5,FALSE))</f>
        <v/>
      </c>
      <c r="AH79" s="380" t="str">
        <f>IF(AG79="","",VLOOKUP(AG79,'11. Lists'!$S$47:$U$50,2,FALSE))</f>
        <v/>
      </c>
      <c r="AI79" s="560" t="str">
        <f t="shared" si="29"/>
        <v/>
      </c>
      <c r="AJ79" s="214" t="str">
        <f>IF(AI79="","",VLOOKUP(AI79,'11. Lists'!$F$47:$G$51,2,FALSE))</f>
        <v/>
      </c>
      <c r="AK79" s="365"/>
      <c r="AL79" s="365"/>
      <c r="AM79" s="365"/>
      <c r="AN79" s="211" t="str">
        <f t="shared" si="30"/>
        <v/>
      </c>
      <c r="AO79" s="561" t="str">
        <f>IF(AN79="","",VLOOKUP(AN79,'11. Lists'!$F$36:$H$38,2,FALSE))</f>
        <v/>
      </c>
      <c r="AP79" s="380" t="str">
        <f>IF(AN79="","",VLOOKUP(AN79,'11. Lists'!$F$36:$H$38,3,FALSE))</f>
        <v/>
      </c>
      <c r="AQ79" s="379" t="str">
        <f>IF(D79="","",IF(AX79="Distinctiveness","N/A",VLOOKUP(F79,'10. Condition and Temporal'!$B$6:$L$103,11,FALSE)))</f>
        <v/>
      </c>
      <c r="AR79" s="382" t="str">
        <f>IF(AQ79="","",IF(AQ79="N/A","1",VLOOKUP(AQ79,'11. Lists'!$I$47:$K$80,3,FALSE)))</f>
        <v/>
      </c>
      <c r="AS79" s="562" t="str">
        <f>IF(D79="","",IF(AX79="Condition","N/A",VLOOKUP(F79,'10. Condition and Temporal'!$B$6:$M$106,12,FALSE)))</f>
        <v/>
      </c>
      <c r="AT79" s="382" t="str">
        <f>IF(AS79="","",IF(AS79="N/A","1",VLOOKUP(AS79,'11. Lists'!$I$47:$K$80,3,FALSE)))</f>
        <v/>
      </c>
      <c r="AU79" s="561" t="str">
        <f>IF(D79="","",VLOOKUP(F79,'9. All Habitats + Multipliers'!$C$4:$K$102,8,FALSE))</f>
        <v/>
      </c>
      <c r="AV79" s="380" t="str">
        <f>IF(AU79="","",VLOOKUP(AU79,'11. Lists'!$J$35:$K$38,2,FALSE))</f>
        <v/>
      </c>
      <c r="AW79" s="379" t="str">
        <f>IF(D79="","",VLOOKUP(D79,'10. Condition and Temporal'!$B$6:$M$103,4,FALSE))</f>
        <v/>
      </c>
      <c r="AX79" s="380" t="str">
        <f t="shared" si="31"/>
        <v/>
      </c>
      <c r="AY79" s="1"/>
      <c r="AZ79" s="563"/>
      <c r="BA79" s="214">
        <v>14.0</v>
      </c>
      <c r="BB79" s="215" t="str">
        <f t="shared" si="32"/>
        <v/>
      </c>
      <c r="BC79" s="215" t="str">
        <f t="shared" si="33"/>
        <v/>
      </c>
      <c r="BD79" s="215" t="str">
        <f t="shared" si="34"/>
        <v/>
      </c>
      <c r="BE79" s="215" t="str">
        <f t="shared" si="35"/>
        <v/>
      </c>
      <c r="BF79" s="215" t="str">
        <f t="shared" si="36"/>
        <v/>
      </c>
      <c r="BG79" s="215" t="str">
        <f t="shared" si="37"/>
        <v/>
      </c>
      <c r="BH79" s="215" t="str">
        <f t="shared" si="38"/>
        <v/>
      </c>
      <c r="BI79" s="215" t="str">
        <f t="shared" si="39"/>
        <v/>
      </c>
      <c r="BJ79" s="215" t="str">
        <f t="shared" si="40"/>
        <v/>
      </c>
      <c r="BK79" s="215" t="str">
        <f t="shared" si="41"/>
        <v/>
      </c>
      <c r="BL79" s="215" t="str">
        <f t="shared" si="42"/>
        <v/>
      </c>
      <c r="BM79" s="215" t="str">
        <f t="shared" si="43"/>
        <v/>
      </c>
      <c r="BN79" s="215" t="str">
        <f t="shared" si="44"/>
        <v/>
      </c>
      <c r="BO79" s="215" t="str">
        <f t="shared" si="45"/>
        <v/>
      </c>
      <c r="BP79" s="215" t="str">
        <f t="shared" si="46"/>
        <v/>
      </c>
      <c r="BQ79" s="215" t="str">
        <f t="shared" si="47"/>
        <v/>
      </c>
      <c r="BR79" s="215" t="str">
        <f t="shared" si="48"/>
        <v/>
      </c>
      <c r="BS79" s="215" t="str">
        <f t="shared" si="49"/>
        <v/>
      </c>
      <c r="BT79" s="215" t="str">
        <f t="shared" si="50"/>
        <v/>
      </c>
      <c r="BU79" s="211" t="str">
        <f t="shared" si="51"/>
        <v/>
      </c>
      <c r="BV79" s="212" t="str">
        <f t="shared" si="52"/>
        <v/>
      </c>
      <c r="BW79" s="215" t="s">
        <v>199</v>
      </c>
      <c r="BX79" s="215">
        <f>BO64</f>
        <v>0</v>
      </c>
    </row>
    <row r="80" ht="14.25" customHeight="1">
      <c r="A80" s="1"/>
      <c r="B80" s="221">
        <v>15.0</v>
      </c>
      <c r="C80" s="376" t="str">
        <f t="shared" si="14"/>
        <v/>
      </c>
      <c r="D80" s="352" t="str">
        <f t="shared" si="15"/>
        <v/>
      </c>
      <c r="E80" s="377" t="str">
        <f t="shared" si="16"/>
        <v/>
      </c>
      <c r="F80" s="222"/>
      <c r="G80" s="43"/>
      <c r="H80" s="354" t="str">
        <f t="shared" si="17"/>
        <v/>
      </c>
      <c r="I80" s="564" t="str">
        <f t="shared" si="18"/>
        <v/>
      </c>
      <c r="J80" s="565" t="str">
        <f>IFERROR(IF(F80="","",VLOOKUP(F80,'10. Condition and Temporal'!$B$6:$F$103,5,FALSE)), "Error ▲")</f>
        <v/>
      </c>
      <c r="K80" s="359"/>
      <c r="L80" s="357" t="str">
        <f t="shared" si="19"/>
        <v/>
      </c>
      <c r="M80" s="358" t="str">
        <f t="shared" si="20"/>
        <v/>
      </c>
      <c r="N80" s="359"/>
      <c r="O80" s="378"/>
      <c r="P80" s="300"/>
      <c r="Q80" s="1"/>
      <c r="R80" s="161"/>
      <c r="S80" s="1"/>
      <c r="T80" s="361" t="str">
        <f t="shared" si="21"/>
        <v/>
      </c>
      <c r="U80" s="379" t="str">
        <f t="shared" si="22"/>
        <v/>
      </c>
      <c r="V80" s="380" t="str">
        <f t="shared" ref="V80:X80" si="65">IF($D80="","",V25)</f>
        <v/>
      </c>
      <c r="W80" s="379" t="str">
        <f t="shared" si="65"/>
        <v/>
      </c>
      <c r="X80" s="215" t="str">
        <f t="shared" si="65"/>
        <v/>
      </c>
      <c r="Y80" s="365"/>
      <c r="Z80" s="365"/>
      <c r="AA80" s="365"/>
      <c r="AB80" s="215" t="str">
        <f t="shared" si="24"/>
        <v/>
      </c>
      <c r="AC80" s="558" t="str">
        <f t="shared" si="25"/>
        <v/>
      </c>
      <c r="AD80" s="380" t="str">
        <f t="shared" si="26"/>
        <v/>
      </c>
      <c r="AE80" s="559" t="str">
        <f t="shared" si="27"/>
        <v/>
      </c>
      <c r="AF80" s="560" t="str">
        <f t="shared" si="28"/>
        <v/>
      </c>
      <c r="AG80" s="379" t="str">
        <f>IF(D80="","",VLOOKUP(F80,'9. All Habitats + Multipliers'!$C$4:$K$102,5,FALSE))</f>
        <v/>
      </c>
      <c r="AH80" s="380" t="str">
        <f>IF(AG80="","",VLOOKUP(AG80,'11. Lists'!$S$47:$U$50,2,FALSE))</f>
        <v/>
      </c>
      <c r="AI80" s="560" t="str">
        <f t="shared" si="29"/>
        <v/>
      </c>
      <c r="AJ80" s="214" t="str">
        <f>IF(AI80="","",VLOOKUP(AI80,'11. Lists'!$F$47:$G$51,2,FALSE))</f>
        <v/>
      </c>
      <c r="AK80" s="365"/>
      <c r="AL80" s="365"/>
      <c r="AM80" s="365"/>
      <c r="AN80" s="211" t="str">
        <f t="shared" si="30"/>
        <v/>
      </c>
      <c r="AO80" s="561" t="str">
        <f>IF(AN80="","",VLOOKUP(AN80,'11. Lists'!$F$36:$H$38,2,FALSE))</f>
        <v/>
      </c>
      <c r="AP80" s="380" t="str">
        <f>IF(AN80="","",VLOOKUP(AN80,'11. Lists'!$F$36:$H$38,3,FALSE))</f>
        <v/>
      </c>
      <c r="AQ80" s="379" t="str">
        <f>IF(D80="","",IF(AX80="Distinctiveness","N/A",VLOOKUP(F80,'10. Condition and Temporal'!$B$6:$L$103,11,FALSE)))</f>
        <v/>
      </c>
      <c r="AR80" s="382" t="str">
        <f>IF(AQ80="","",IF(AQ80="N/A","1",VLOOKUP(AQ80,'11. Lists'!$I$47:$K$80,3,FALSE)))</f>
        <v/>
      </c>
      <c r="AS80" s="562" t="str">
        <f>IF(D80="","",IF(AX80="Condition","N/A",VLOOKUP(F80,'10. Condition and Temporal'!$B$6:$M$106,12,FALSE)))</f>
        <v/>
      </c>
      <c r="AT80" s="382" t="str">
        <f>IF(AS80="","",IF(AS80="N/A","1",VLOOKUP(AS80,'11. Lists'!$I$47:$K$80,3,FALSE)))</f>
        <v/>
      </c>
      <c r="AU80" s="561" t="str">
        <f>IF(D80="","",VLOOKUP(F80,'9. All Habitats + Multipliers'!$C$4:$K$102,8,FALSE))</f>
        <v/>
      </c>
      <c r="AV80" s="380" t="str">
        <f>IF(AU80="","",VLOOKUP(AU80,'11. Lists'!$J$35:$K$38,2,FALSE))</f>
        <v/>
      </c>
      <c r="AW80" s="379" t="str">
        <f>IF(D80="","",VLOOKUP(D80,'10. Condition and Temporal'!$B$6:$M$103,4,FALSE))</f>
        <v/>
      </c>
      <c r="AX80" s="380" t="str">
        <f t="shared" si="31"/>
        <v/>
      </c>
      <c r="AY80" s="1"/>
      <c r="AZ80" s="563"/>
      <c r="BA80" s="214">
        <v>15.0</v>
      </c>
      <c r="BB80" s="215" t="str">
        <f t="shared" si="32"/>
        <v/>
      </c>
      <c r="BC80" s="215" t="str">
        <f t="shared" si="33"/>
        <v/>
      </c>
      <c r="BD80" s="215" t="str">
        <f t="shared" si="34"/>
        <v/>
      </c>
      <c r="BE80" s="215" t="str">
        <f t="shared" si="35"/>
        <v/>
      </c>
      <c r="BF80" s="215" t="str">
        <f t="shared" si="36"/>
        <v/>
      </c>
      <c r="BG80" s="215" t="str">
        <f t="shared" si="37"/>
        <v/>
      </c>
      <c r="BH80" s="215" t="str">
        <f t="shared" si="38"/>
        <v/>
      </c>
      <c r="BI80" s="215" t="str">
        <f t="shared" si="39"/>
        <v/>
      </c>
      <c r="BJ80" s="215" t="str">
        <f t="shared" si="40"/>
        <v/>
      </c>
      <c r="BK80" s="215" t="str">
        <f t="shared" si="41"/>
        <v/>
      </c>
      <c r="BL80" s="215" t="str">
        <f t="shared" si="42"/>
        <v/>
      </c>
      <c r="BM80" s="215" t="str">
        <f t="shared" si="43"/>
        <v/>
      </c>
      <c r="BN80" s="215" t="str">
        <f t="shared" si="44"/>
        <v/>
      </c>
      <c r="BO80" s="215" t="str">
        <f t="shared" si="45"/>
        <v/>
      </c>
      <c r="BP80" s="215" t="str">
        <f t="shared" si="46"/>
        <v/>
      </c>
      <c r="BQ80" s="215" t="str">
        <f t="shared" si="47"/>
        <v/>
      </c>
      <c r="BR80" s="215" t="str">
        <f t="shared" si="48"/>
        <v/>
      </c>
      <c r="BS80" s="215" t="str">
        <f t="shared" si="49"/>
        <v/>
      </c>
      <c r="BT80" s="215" t="str">
        <f t="shared" si="50"/>
        <v/>
      </c>
      <c r="BU80" s="211" t="str">
        <f t="shared" si="51"/>
        <v/>
      </c>
      <c r="BV80" s="212" t="str">
        <f t="shared" si="52"/>
        <v/>
      </c>
      <c r="BW80" s="215" t="s">
        <v>200</v>
      </c>
      <c r="BX80" s="215">
        <f>BP64</f>
        <v>0</v>
      </c>
    </row>
    <row r="81" ht="14.25" customHeight="1">
      <c r="A81" s="1"/>
      <c r="B81" s="221">
        <v>16.0</v>
      </c>
      <c r="C81" s="376" t="str">
        <f t="shared" si="14"/>
        <v/>
      </c>
      <c r="D81" s="352" t="str">
        <f t="shared" si="15"/>
        <v/>
      </c>
      <c r="E81" s="377" t="str">
        <f t="shared" si="16"/>
        <v/>
      </c>
      <c r="F81" s="222"/>
      <c r="G81" s="43"/>
      <c r="H81" s="354" t="str">
        <f t="shared" si="17"/>
        <v/>
      </c>
      <c r="I81" s="564" t="str">
        <f t="shared" si="18"/>
        <v/>
      </c>
      <c r="J81" s="565" t="str">
        <f>IFERROR(IF(F81="","",VLOOKUP(F81,'10. Condition and Temporal'!$B$6:$F$103,5,FALSE)), "Error ▲")</f>
        <v/>
      </c>
      <c r="K81" s="359"/>
      <c r="L81" s="357" t="str">
        <f t="shared" si="19"/>
        <v/>
      </c>
      <c r="M81" s="358" t="str">
        <f t="shared" si="20"/>
        <v/>
      </c>
      <c r="N81" s="359"/>
      <c r="O81" s="378"/>
      <c r="P81" s="300"/>
      <c r="Q81" s="1"/>
      <c r="R81" s="161"/>
      <c r="S81" s="1"/>
      <c r="T81" s="361" t="str">
        <f t="shared" si="21"/>
        <v/>
      </c>
      <c r="U81" s="379" t="str">
        <f t="shared" si="22"/>
        <v/>
      </c>
      <c r="V81" s="380" t="str">
        <f t="shared" ref="V81:X81" si="66">IF($D81="","",V26)</f>
        <v/>
      </c>
      <c r="W81" s="379" t="str">
        <f t="shared" si="66"/>
        <v/>
      </c>
      <c r="X81" s="215" t="str">
        <f t="shared" si="66"/>
        <v/>
      </c>
      <c r="Y81" s="365"/>
      <c r="Z81" s="365"/>
      <c r="AA81" s="365"/>
      <c r="AB81" s="215" t="str">
        <f t="shared" si="24"/>
        <v/>
      </c>
      <c r="AC81" s="558" t="str">
        <f t="shared" si="25"/>
        <v/>
      </c>
      <c r="AD81" s="380" t="str">
        <f t="shared" si="26"/>
        <v/>
      </c>
      <c r="AE81" s="559" t="str">
        <f t="shared" si="27"/>
        <v/>
      </c>
      <c r="AF81" s="560" t="str">
        <f t="shared" si="28"/>
        <v/>
      </c>
      <c r="AG81" s="379" t="str">
        <f>IF(D81="","",VLOOKUP(F81,'9. All Habitats + Multipliers'!$C$4:$K$102,5,FALSE))</f>
        <v/>
      </c>
      <c r="AH81" s="380" t="str">
        <f>IF(AG81="","",VLOOKUP(AG81,'11. Lists'!$S$47:$U$50,2,FALSE))</f>
        <v/>
      </c>
      <c r="AI81" s="560" t="str">
        <f t="shared" si="29"/>
        <v/>
      </c>
      <c r="AJ81" s="214" t="str">
        <f>IF(AI81="","",VLOOKUP(AI81,'11. Lists'!$F$47:$G$51,2,FALSE))</f>
        <v/>
      </c>
      <c r="AK81" s="365"/>
      <c r="AL81" s="365"/>
      <c r="AM81" s="365"/>
      <c r="AN81" s="211" t="str">
        <f t="shared" si="30"/>
        <v/>
      </c>
      <c r="AO81" s="561" t="str">
        <f>IF(AN81="","",VLOOKUP(AN81,'11. Lists'!$F$36:$H$38,2,FALSE))</f>
        <v/>
      </c>
      <c r="AP81" s="380" t="str">
        <f>IF(AN81="","",VLOOKUP(AN81,'11. Lists'!$F$36:$H$38,3,FALSE))</f>
        <v/>
      </c>
      <c r="AQ81" s="379" t="str">
        <f>IF(D81="","",IF(AX81="Distinctiveness","N/A",VLOOKUP(F81,'10. Condition and Temporal'!$B$6:$L$103,11,FALSE)))</f>
        <v/>
      </c>
      <c r="AR81" s="382" t="str">
        <f>IF(AQ81="","",IF(AQ81="N/A","1",VLOOKUP(AQ81,'11. Lists'!$I$47:$K$80,3,FALSE)))</f>
        <v/>
      </c>
      <c r="AS81" s="562" t="str">
        <f>IF(D81="","",IF(AX81="Condition","N/A",VLOOKUP(F81,'10. Condition and Temporal'!$B$6:$M$106,12,FALSE)))</f>
        <v/>
      </c>
      <c r="AT81" s="382" t="str">
        <f>IF(AS81="","",IF(AS81="N/A","1",VLOOKUP(AS81,'11. Lists'!$I$47:$K$80,3,FALSE)))</f>
        <v/>
      </c>
      <c r="AU81" s="561" t="str">
        <f>IF(D81="","",VLOOKUP(F81,'9. All Habitats + Multipliers'!$C$4:$K$102,8,FALSE))</f>
        <v/>
      </c>
      <c r="AV81" s="380" t="str">
        <f>IF(AU81="","",VLOOKUP(AU81,'11. Lists'!$J$35:$K$38,2,FALSE))</f>
        <v/>
      </c>
      <c r="AW81" s="379" t="str">
        <f>IF(D81="","",VLOOKUP(D81,'10. Condition and Temporal'!$B$6:$M$103,4,FALSE))</f>
        <v/>
      </c>
      <c r="AX81" s="380" t="str">
        <f t="shared" si="31"/>
        <v/>
      </c>
      <c r="AY81" s="1"/>
      <c r="AZ81" s="563"/>
      <c r="BA81" s="214">
        <v>16.0</v>
      </c>
      <c r="BB81" s="215" t="str">
        <f t="shared" si="32"/>
        <v/>
      </c>
      <c r="BC81" s="215" t="str">
        <f t="shared" si="33"/>
        <v/>
      </c>
      <c r="BD81" s="215" t="str">
        <f t="shared" si="34"/>
        <v/>
      </c>
      <c r="BE81" s="215" t="str">
        <f t="shared" si="35"/>
        <v/>
      </c>
      <c r="BF81" s="215" t="str">
        <f t="shared" si="36"/>
        <v/>
      </c>
      <c r="BG81" s="215" t="str">
        <f t="shared" si="37"/>
        <v/>
      </c>
      <c r="BH81" s="215" t="str">
        <f t="shared" si="38"/>
        <v/>
      </c>
      <c r="BI81" s="215" t="str">
        <f t="shared" si="39"/>
        <v/>
      </c>
      <c r="BJ81" s="215" t="str">
        <f t="shared" si="40"/>
        <v/>
      </c>
      <c r="BK81" s="215" t="str">
        <f t="shared" si="41"/>
        <v/>
      </c>
      <c r="BL81" s="215" t="str">
        <f t="shared" si="42"/>
        <v/>
      </c>
      <c r="BM81" s="215" t="str">
        <f t="shared" si="43"/>
        <v/>
      </c>
      <c r="BN81" s="215" t="str">
        <f t="shared" si="44"/>
        <v/>
      </c>
      <c r="BO81" s="215" t="str">
        <f t="shared" si="45"/>
        <v/>
      </c>
      <c r="BP81" s="215" t="str">
        <f t="shared" si="46"/>
        <v/>
      </c>
      <c r="BQ81" s="215" t="str">
        <f t="shared" si="47"/>
        <v/>
      </c>
      <c r="BR81" s="215" t="str">
        <f t="shared" si="48"/>
        <v/>
      </c>
      <c r="BS81" s="215" t="str">
        <f t="shared" si="49"/>
        <v/>
      </c>
      <c r="BT81" s="215" t="str">
        <f t="shared" si="50"/>
        <v/>
      </c>
      <c r="BU81" s="211" t="str">
        <f t="shared" si="51"/>
        <v/>
      </c>
      <c r="BV81" s="212" t="str">
        <f t="shared" si="52"/>
        <v/>
      </c>
      <c r="BW81" s="215" t="s">
        <v>201</v>
      </c>
      <c r="BX81" s="215">
        <f>BQ64</f>
        <v>0</v>
      </c>
    </row>
    <row r="82" ht="14.25" customHeight="1">
      <c r="A82" s="1"/>
      <c r="B82" s="221">
        <v>17.0</v>
      </c>
      <c r="C82" s="376" t="str">
        <f t="shared" si="14"/>
        <v/>
      </c>
      <c r="D82" s="352" t="str">
        <f t="shared" si="15"/>
        <v/>
      </c>
      <c r="E82" s="377" t="str">
        <f t="shared" si="16"/>
        <v/>
      </c>
      <c r="F82" s="222"/>
      <c r="G82" s="43"/>
      <c r="H82" s="354" t="str">
        <f t="shared" si="17"/>
        <v/>
      </c>
      <c r="I82" s="564" t="str">
        <f t="shared" si="18"/>
        <v/>
      </c>
      <c r="J82" s="565" t="str">
        <f>IFERROR(IF(F82="","",VLOOKUP(F82,'10. Condition and Temporal'!$B$6:$F$103,5,FALSE)), "Error ▲")</f>
        <v/>
      </c>
      <c r="K82" s="359"/>
      <c r="L82" s="357" t="str">
        <f t="shared" si="19"/>
        <v/>
      </c>
      <c r="M82" s="358" t="str">
        <f t="shared" si="20"/>
        <v/>
      </c>
      <c r="N82" s="359"/>
      <c r="O82" s="378"/>
      <c r="P82" s="300"/>
      <c r="Q82" s="1"/>
      <c r="R82" s="161"/>
      <c r="S82" s="1"/>
      <c r="T82" s="361" t="str">
        <f t="shared" si="21"/>
        <v/>
      </c>
      <c r="U82" s="379" t="str">
        <f t="shared" si="22"/>
        <v/>
      </c>
      <c r="V82" s="380" t="str">
        <f t="shared" ref="V82:X82" si="67">IF($D82="","",V27)</f>
        <v/>
      </c>
      <c r="W82" s="379" t="str">
        <f t="shared" si="67"/>
        <v/>
      </c>
      <c r="X82" s="215" t="str">
        <f t="shared" si="67"/>
        <v/>
      </c>
      <c r="Y82" s="365"/>
      <c r="Z82" s="365"/>
      <c r="AA82" s="365"/>
      <c r="AB82" s="215" t="str">
        <f t="shared" si="24"/>
        <v/>
      </c>
      <c r="AC82" s="558" t="str">
        <f t="shared" si="25"/>
        <v/>
      </c>
      <c r="AD82" s="380" t="str">
        <f t="shared" si="26"/>
        <v/>
      </c>
      <c r="AE82" s="559" t="str">
        <f t="shared" si="27"/>
        <v/>
      </c>
      <c r="AF82" s="560" t="str">
        <f t="shared" si="28"/>
        <v/>
      </c>
      <c r="AG82" s="379" t="str">
        <f>IF(D82="","",VLOOKUP(F82,'9. All Habitats + Multipliers'!$C$4:$K$102,5,FALSE))</f>
        <v/>
      </c>
      <c r="AH82" s="380" t="str">
        <f>IF(AG82="","",VLOOKUP(AG82,'11. Lists'!$S$47:$U$50,2,FALSE))</f>
        <v/>
      </c>
      <c r="AI82" s="560" t="str">
        <f t="shared" si="29"/>
        <v/>
      </c>
      <c r="AJ82" s="214" t="str">
        <f>IF(AI82="","",VLOOKUP(AI82,'11. Lists'!$F$47:$G$51,2,FALSE))</f>
        <v/>
      </c>
      <c r="AK82" s="365"/>
      <c r="AL82" s="365"/>
      <c r="AM82" s="365"/>
      <c r="AN82" s="211" t="str">
        <f t="shared" si="30"/>
        <v/>
      </c>
      <c r="AO82" s="561" t="str">
        <f>IF(AN82="","",VLOOKUP(AN82,'11. Lists'!$F$36:$H$38,2,FALSE))</f>
        <v/>
      </c>
      <c r="AP82" s="380" t="str">
        <f>IF(AN82="","",VLOOKUP(AN82,'11. Lists'!$F$36:$H$38,3,FALSE))</f>
        <v/>
      </c>
      <c r="AQ82" s="379" t="str">
        <f>IF(D82="","",IF(AX82="Distinctiveness","N/A",VLOOKUP(F82,'10. Condition and Temporal'!$B$6:$L$103,11,FALSE)))</f>
        <v/>
      </c>
      <c r="AR82" s="382" t="str">
        <f>IF(AQ82="","",IF(AQ82="N/A","1",VLOOKUP(AQ82,'11. Lists'!$I$47:$K$80,3,FALSE)))</f>
        <v/>
      </c>
      <c r="AS82" s="562" t="str">
        <f>IF(D82="","",IF(AX82="Condition","N/A",VLOOKUP(F82,'10. Condition and Temporal'!$B$6:$M$106,12,FALSE)))</f>
        <v/>
      </c>
      <c r="AT82" s="382" t="str">
        <f>IF(AS82="","",IF(AS82="N/A","1",VLOOKUP(AS82,'11. Lists'!$I$47:$K$80,3,FALSE)))</f>
        <v/>
      </c>
      <c r="AU82" s="561" t="str">
        <f>IF(D82="","",VLOOKUP(F82,'9. All Habitats + Multipliers'!$C$4:$K$102,8,FALSE))</f>
        <v/>
      </c>
      <c r="AV82" s="380" t="str">
        <f>IF(AU82="","",VLOOKUP(AU82,'11. Lists'!$J$35:$K$38,2,FALSE))</f>
        <v/>
      </c>
      <c r="AW82" s="379" t="str">
        <f>IF(D82="","",VLOOKUP(D82,'10. Condition and Temporal'!$B$6:$M$103,4,FALSE))</f>
        <v/>
      </c>
      <c r="AX82" s="380" t="str">
        <f t="shared" si="31"/>
        <v/>
      </c>
      <c r="AY82" s="1"/>
      <c r="AZ82" s="563"/>
      <c r="BA82" s="214">
        <v>17.0</v>
      </c>
      <c r="BB82" s="215" t="str">
        <f t="shared" si="32"/>
        <v/>
      </c>
      <c r="BC82" s="215" t="str">
        <f t="shared" si="33"/>
        <v/>
      </c>
      <c r="BD82" s="215" t="str">
        <f t="shared" si="34"/>
        <v/>
      </c>
      <c r="BE82" s="215" t="str">
        <f t="shared" si="35"/>
        <v/>
      </c>
      <c r="BF82" s="215" t="str">
        <f t="shared" si="36"/>
        <v/>
      </c>
      <c r="BG82" s="215" t="str">
        <f t="shared" si="37"/>
        <v/>
      </c>
      <c r="BH82" s="215" t="str">
        <f t="shared" si="38"/>
        <v/>
      </c>
      <c r="BI82" s="215" t="str">
        <f t="shared" si="39"/>
        <v/>
      </c>
      <c r="BJ82" s="215" t="str">
        <f t="shared" si="40"/>
        <v/>
      </c>
      <c r="BK82" s="215" t="str">
        <f t="shared" si="41"/>
        <v/>
      </c>
      <c r="BL82" s="215" t="str">
        <f t="shared" si="42"/>
        <v/>
      </c>
      <c r="BM82" s="215" t="str">
        <f t="shared" si="43"/>
        <v/>
      </c>
      <c r="BN82" s="215" t="str">
        <f t="shared" si="44"/>
        <v/>
      </c>
      <c r="BO82" s="215" t="str">
        <f t="shared" si="45"/>
        <v/>
      </c>
      <c r="BP82" s="215" t="str">
        <f t="shared" si="46"/>
        <v/>
      </c>
      <c r="BQ82" s="215" t="str">
        <f t="shared" si="47"/>
        <v/>
      </c>
      <c r="BR82" s="215" t="str">
        <f t="shared" si="48"/>
        <v/>
      </c>
      <c r="BS82" s="215" t="str">
        <f t="shared" si="49"/>
        <v/>
      </c>
      <c r="BT82" s="215" t="str">
        <f t="shared" si="50"/>
        <v/>
      </c>
      <c r="BU82" s="211" t="str">
        <f t="shared" si="51"/>
        <v/>
      </c>
      <c r="BV82" s="212" t="str">
        <f t="shared" si="52"/>
        <v/>
      </c>
      <c r="BW82" s="215" t="s">
        <v>202</v>
      </c>
      <c r="BX82" s="215">
        <f>BR64</f>
        <v>0</v>
      </c>
    </row>
    <row r="83" ht="14.25" customHeight="1">
      <c r="A83" s="1"/>
      <c r="B83" s="221">
        <v>18.0</v>
      </c>
      <c r="C83" s="376" t="str">
        <f t="shared" si="14"/>
        <v/>
      </c>
      <c r="D83" s="352" t="str">
        <f t="shared" si="15"/>
        <v/>
      </c>
      <c r="E83" s="377" t="str">
        <f t="shared" si="16"/>
        <v/>
      </c>
      <c r="F83" s="222"/>
      <c r="G83" s="43"/>
      <c r="H83" s="354" t="str">
        <f t="shared" si="17"/>
        <v/>
      </c>
      <c r="I83" s="564" t="str">
        <f t="shared" si="18"/>
        <v/>
      </c>
      <c r="J83" s="565" t="str">
        <f>IFERROR(IF(F83="","",VLOOKUP(F83,'10. Condition and Temporal'!$B$6:$F$103,5,FALSE)), "Error ▲")</f>
        <v/>
      </c>
      <c r="K83" s="359"/>
      <c r="L83" s="357" t="str">
        <f t="shared" si="19"/>
        <v/>
      </c>
      <c r="M83" s="358" t="str">
        <f t="shared" si="20"/>
        <v/>
      </c>
      <c r="N83" s="359"/>
      <c r="O83" s="378"/>
      <c r="P83" s="300"/>
      <c r="Q83" s="1"/>
      <c r="R83" s="161"/>
      <c r="S83" s="1"/>
      <c r="T83" s="361" t="str">
        <f t="shared" si="21"/>
        <v/>
      </c>
      <c r="U83" s="379" t="str">
        <f t="shared" si="22"/>
        <v/>
      </c>
      <c r="V83" s="380" t="str">
        <f t="shared" ref="V83:X83" si="68">IF($D83="","",V28)</f>
        <v/>
      </c>
      <c r="W83" s="379" t="str">
        <f t="shared" si="68"/>
        <v/>
      </c>
      <c r="X83" s="215" t="str">
        <f t="shared" si="68"/>
        <v/>
      </c>
      <c r="Y83" s="365"/>
      <c r="Z83" s="365"/>
      <c r="AA83" s="365"/>
      <c r="AB83" s="215" t="str">
        <f t="shared" si="24"/>
        <v/>
      </c>
      <c r="AC83" s="558" t="str">
        <f t="shared" si="25"/>
        <v/>
      </c>
      <c r="AD83" s="380" t="str">
        <f t="shared" si="26"/>
        <v/>
      </c>
      <c r="AE83" s="559" t="str">
        <f t="shared" si="27"/>
        <v/>
      </c>
      <c r="AF83" s="560" t="str">
        <f t="shared" si="28"/>
        <v/>
      </c>
      <c r="AG83" s="379" t="str">
        <f>IF(D83="","",VLOOKUP(F83,'9. All Habitats + Multipliers'!$C$4:$K$102,5,FALSE))</f>
        <v/>
      </c>
      <c r="AH83" s="380" t="str">
        <f>IF(AG83="","",VLOOKUP(AG83,'11. Lists'!$S$47:$U$50,2,FALSE))</f>
        <v/>
      </c>
      <c r="AI83" s="560" t="str">
        <f t="shared" si="29"/>
        <v/>
      </c>
      <c r="AJ83" s="214" t="str">
        <f>IF(AI83="","",VLOOKUP(AI83,'11. Lists'!$F$47:$G$51,2,FALSE))</f>
        <v/>
      </c>
      <c r="AK83" s="365"/>
      <c r="AL83" s="365"/>
      <c r="AM83" s="365"/>
      <c r="AN83" s="211" t="str">
        <f t="shared" si="30"/>
        <v/>
      </c>
      <c r="AO83" s="561" t="str">
        <f>IF(AN83="","",VLOOKUP(AN83,'11. Lists'!$F$36:$H$38,2,FALSE))</f>
        <v/>
      </c>
      <c r="AP83" s="380" t="str">
        <f>IF(AN83="","",VLOOKUP(AN83,'11. Lists'!$F$36:$H$38,3,FALSE))</f>
        <v/>
      </c>
      <c r="AQ83" s="379" t="str">
        <f>IF(D83="","",IF(AX83="Distinctiveness","N/A",VLOOKUP(F83,'10. Condition and Temporal'!$B$6:$L$103,11,FALSE)))</f>
        <v/>
      </c>
      <c r="AR83" s="382" t="str">
        <f>IF(AQ83="","",IF(AQ83="N/A","1",VLOOKUP(AQ83,'11. Lists'!$I$47:$K$80,3,FALSE)))</f>
        <v/>
      </c>
      <c r="AS83" s="562" t="str">
        <f>IF(D83="","",IF(AX83="Condition","N/A",VLOOKUP(F83,'10. Condition and Temporal'!$B$6:$M$106,12,FALSE)))</f>
        <v/>
      </c>
      <c r="AT83" s="382" t="str">
        <f>IF(AS83="","",IF(AS83="N/A","1",VLOOKUP(AS83,'11. Lists'!$I$47:$K$80,3,FALSE)))</f>
        <v/>
      </c>
      <c r="AU83" s="561" t="str">
        <f>IF(D83="","",VLOOKUP(F83,'9. All Habitats + Multipliers'!$C$4:$K$102,8,FALSE))</f>
        <v/>
      </c>
      <c r="AV83" s="380" t="str">
        <f>IF(AU83="","",VLOOKUP(AU83,'11. Lists'!$J$35:$K$38,2,FALSE))</f>
        <v/>
      </c>
      <c r="AW83" s="379" t="str">
        <f>IF(D83="","",VLOOKUP(D83,'10. Condition and Temporal'!$B$6:$M$103,4,FALSE))</f>
        <v/>
      </c>
      <c r="AX83" s="380" t="str">
        <f t="shared" si="31"/>
        <v/>
      </c>
      <c r="AY83" s="1"/>
      <c r="AZ83" s="563"/>
      <c r="BA83" s="214">
        <v>18.0</v>
      </c>
      <c r="BB83" s="215" t="str">
        <f t="shared" si="32"/>
        <v/>
      </c>
      <c r="BC83" s="215" t="str">
        <f t="shared" si="33"/>
        <v/>
      </c>
      <c r="BD83" s="215" t="str">
        <f t="shared" si="34"/>
        <v/>
      </c>
      <c r="BE83" s="215" t="str">
        <f t="shared" si="35"/>
        <v/>
      </c>
      <c r="BF83" s="215" t="str">
        <f t="shared" si="36"/>
        <v/>
      </c>
      <c r="BG83" s="215" t="str">
        <f t="shared" si="37"/>
        <v/>
      </c>
      <c r="BH83" s="215" t="str">
        <f t="shared" si="38"/>
        <v/>
      </c>
      <c r="BI83" s="215" t="str">
        <f t="shared" si="39"/>
        <v/>
      </c>
      <c r="BJ83" s="215" t="str">
        <f t="shared" si="40"/>
        <v/>
      </c>
      <c r="BK83" s="215" t="str">
        <f t="shared" si="41"/>
        <v/>
      </c>
      <c r="BL83" s="215" t="str">
        <f t="shared" si="42"/>
        <v/>
      </c>
      <c r="BM83" s="215" t="str">
        <f t="shared" si="43"/>
        <v/>
      </c>
      <c r="BN83" s="215" t="str">
        <f t="shared" si="44"/>
        <v/>
      </c>
      <c r="BO83" s="215" t="str">
        <f t="shared" si="45"/>
        <v/>
      </c>
      <c r="BP83" s="215" t="str">
        <f t="shared" si="46"/>
        <v/>
      </c>
      <c r="BQ83" s="215" t="str">
        <f t="shared" si="47"/>
        <v/>
      </c>
      <c r="BR83" s="215" t="str">
        <f t="shared" si="48"/>
        <v/>
      </c>
      <c r="BS83" s="215" t="str">
        <f t="shared" si="49"/>
        <v/>
      </c>
      <c r="BT83" s="215" t="str">
        <f t="shared" si="50"/>
        <v/>
      </c>
      <c r="BU83" s="211" t="str">
        <f t="shared" si="51"/>
        <v/>
      </c>
      <c r="BV83" s="212" t="str">
        <f t="shared" si="52"/>
        <v/>
      </c>
      <c r="BW83" s="215" t="s">
        <v>203</v>
      </c>
      <c r="BX83" s="215">
        <f>BS64</f>
        <v>0</v>
      </c>
    </row>
    <row r="84" ht="14.25" customHeight="1">
      <c r="A84" s="1"/>
      <c r="B84" s="221">
        <v>19.0</v>
      </c>
      <c r="C84" s="376" t="str">
        <f t="shared" si="14"/>
        <v/>
      </c>
      <c r="D84" s="352" t="str">
        <f t="shared" si="15"/>
        <v/>
      </c>
      <c r="E84" s="377" t="str">
        <f t="shared" si="16"/>
        <v/>
      </c>
      <c r="F84" s="222"/>
      <c r="G84" s="43"/>
      <c r="H84" s="354" t="str">
        <f t="shared" si="17"/>
        <v/>
      </c>
      <c r="I84" s="564" t="str">
        <f t="shared" si="18"/>
        <v/>
      </c>
      <c r="J84" s="565" t="str">
        <f>IFERROR(IF(F84="","",VLOOKUP(F84,'10. Condition and Temporal'!$B$6:$F$103,5,FALSE)), "Error ▲")</f>
        <v/>
      </c>
      <c r="K84" s="359"/>
      <c r="L84" s="357" t="str">
        <f t="shared" si="19"/>
        <v/>
      </c>
      <c r="M84" s="358" t="str">
        <f t="shared" si="20"/>
        <v/>
      </c>
      <c r="N84" s="359"/>
      <c r="O84" s="378"/>
      <c r="P84" s="300"/>
      <c r="Q84" s="1"/>
      <c r="R84" s="161"/>
      <c r="S84" s="1"/>
      <c r="T84" s="361" t="str">
        <f t="shared" si="21"/>
        <v/>
      </c>
      <c r="U84" s="379" t="str">
        <f t="shared" si="22"/>
        <v/>
      </c>
      <c r="V84" s="380" t="str">
        <f t="shared" ref="V84:X84" si="69">IF($D84="","",V29)</f>
        <v/>
      </c>
      <c r="W84" s="379" t="str">
        <f t="shared" si="69"/>
        <v/>
      </c>
      <c r="X84" s="215" t="str">
        <f t="shared" si="69"/>
        <v/>
      </c>
      <c r="Y84" s="365"/>
      <c r="Z84" s="365"/>
      <c r="AA84" s="365"/>
      <c r="AB84" s="215" t="str">
        <f t="shared" si="24"/>
        <v/>
      </c>
      <c r="AC84" s="558" t="str">
        <f t="shared" si="25"/>
        <v/>
      </c>
      <c r="AD84" s="380" t="str">
        <f t="shared" si="26"/>
        <v/>
      </c>
      <c r="AE84" s="559" t="str">
        <f t="shared" si="27"/>
        <v/>
      </c>
      <c r="AF84" s="560" t="str">
        <f t="shared" si="28"/>
        <v/>
      </c>
      <c r="AG84" s="379" t="str">
        <f>IF(D84="","",VLOOKUP(F84,'9. All Habitats + Multipliers'!$C$4:$K$102,5,FALSE))</f>
        <v/>
      </c>
      <c r="AH84" s="380" t="str">
        <f>IF(AG84="","",VLOOKUP(AG84,'11. Lists'!$S$47:$U$50,2,FALSE))</f>
        <v/>
      </c>
      <c r="AI84" s="560" t="str">
        <f t="shared" si="29"/>
        <v/>
      </c>
      <c r="AJ84" s="214" t="str">
        <f>IF(AI84="","",VLOOKUP(AI84,'11. Lists'!$F$47:$G$51,2,FALSE))</f>
        <v/>
      </c>
      <c r="AK84" s="365"/>
      <c r="AL84" s="365"/>
      <c r="AM84" s="365"/>
      <c r="AN84" s="211" t="str">
        <f t="shared" si="30"/>
        <v/>
      </c>
      <c r="AO84" s="561" t="str">
        <f>IF(AN84="","",VLOOKUP(AN84,'11. Lists'!$F$36:$H$38,2,FALSE))</f>
        <v/>
      </c>
      <c r="AP84" s="380" t="str">
        <f>IF(AN84="","",VLOOKUP(AN84,'11. Lists'!$F$36:$H$38,3,FALSE))</f>
        <v/>
      </c>
      <c r="AQ84" s="379" t="str">
        <f>IF(D84="","",IF(AX84="Distinctiveness","N/A",VLOOKUP(F84,'10. Condition and Temporal'!$B$6:$L$103,11,FALSE)))</f>
        <v/>
      </c>
      <c r="AR84" s="382" t="str">
        <f>IF(AQ84="","",IF(AQ84="N/A","1",VLOOKUP(AQ84,'11. Lists'!$I$47:$K$80,3,FALSE)))</f>
        <v/>
      </c>
      <c r="AS84" s="562" t="str">
        <f>IF(D84="","",IF(AX84="Condition","N/A",VLOOKUP(F84,'10. Condition and Temporal'!$B$6:$M$106,12,FALSE)))</f>
        <v/>
      </c>
      <c r="AT84" s="382" t="str">
        <f>IF(AS84="","",IF(AS84="N/A","1",VLOOKUP(AS84,'11. Lists'!$I$47:$K$80,3,FALSE)))</f>
        <v/>
      </c>
      <c r="AU84" s="561" t="str">
        <f>IF(D84="","",VLOOKUP(F84,'9. All Habitats + Multipliers'!$C$4:$K$102,8,FALSE))</f>
        <v/>
      </c>
      <c r="AV84" s="380" t="str">
        <f>IF(AU84="","",VLOOKUP(AU84,'11. Lists'!$J$35:$K$38,2,FALSE))</f>
        <v/>
      </c>
      <c r="AW84" s="379" t="str">
        <f>IF(D84="","",VLOOKUP(D84,'10. Condition and Temporal'!$B$6:$M$103,4,FALSE))</f>
        <v/>
      </c>
      <c r="AX84" s="380" t="str">
        <f t="shared" si="31"/>
        <v/>
      </c>
      <c r="AY84" s="1"/>
      <c r="AZ84" s="563"/>
      <c r="BA84" s="214">
        <v>19.0</v>
      </c>
      <c r="BB84" s="215" t="str">
        <f t="shared" si="32"/>
        <v/>
      </c>
      <c r="BC84" s="215" t="str">
        <f t="shared" si="33"/>
        <v/>
      </c>
      <c r="BD84" s="215" t="str">
        <f t="shared" si="34"/>
        <v/>
      </c>
      <c r="BE84" s="215" t="str">
        <f t="shared" si="35"/>
        <v/>
      </c>
      <c r="BF84" s="215" t="str">
        <f t="shared" si="36"/>
        <v/>
      </c>
      <c r="BG84" s="215" t="str">
        <f t="shared" si="37"/>
        <v/>
      </c>
      <c r="BH84" s="215" t="str">
        <f t="shared" si="38"/>
        <v/>
      </c>
      <c r="BI84" s="215" t="str">
        <f t="shared" si="39"/>
        <v/>
      </c>
      <c r="BJ84" s="215" t="str">
        <f t="shared" si="40"/>
        <v/>
      </c>
      <c r="BK84" s="215" t="str">
        <f t="shared" si="41"/>
        <v/>
      </c>
      <c r="BL84" s="215" t="str">
        <f t="shared" si="42"/>
        <v/>
      </c>
      <c r="BM84" s="215" t="str">
        <f t="shared" si="43"/>
        <v/>
      </c>
      <c r="BN84" s="215" t="str">
        <f t="shared" si="44"/>
        <v/>
      </c>
      <c r="BO84" s="215" t="str">
        <f t="shared" si="45"/>
        <v/>
      </c>
      <c r="BP84" s="215" t="str">
        <f t="shared" si="46"/>
        <v/>
      </c>
      <c r="BQ84" s="215" t="str">
        <f t="shared" si="47"/>
        <v/>
      </c>
      <c r="BR84" s="215" t="str">
        <f t="shared" si="48"/>
        <v/>
      </c>
      <c r="BS84" s="215" t="str">
        <f t="shared" si="49"/>
        <v/>
      </c>
      <c r="BT84" s="215" t="str">
        <f t="shared" si="50"/>
        <v/>
      </c>
      <c r="BU84" s="211" t="str">
        <f t="shared" si="51"/>
        <v/>
      </c>
      <c r="BV84" s="212" t="str">
        <f t="shared" si="52"/>
        <v/>
      </c>
      <c r="BW84" s="215" t="s">
        <v>204</v>
      </c>
      <c r="BX84" s="215">
        <f>BT64</f>
        <v>0</v>
      </c>
    </row>
    <row r="85" ht="14.25" customHeight="1">
      <c r="A85" s="1"/>
      <c r="B85" s="231">
        <v>20.0</v>
      </c>
      <c r="C85" s="385" t="str">
        <f t="shared" si="14"/>
        <v/>
      </c>
      <c r="D85" s="386" t="str">
        <f t="shared" si="15"/>
        <v/>
      </c>
      <c r="E85" s="387" t="str">
        <f t="shared" si="16"/>
        <v/>
      </c>
      <c r="F85" s="232"/>
      <c r="G85" s="54"/>
      <c r="H85" s="388" t="str">
        <f t="shared" si="17"/>
        <v/>
      </c>
      <c r="I85" s="566" t="str">
        <f t="shared" si="18"/>
        <v/>
      </c>
      <c r="J85" s="567" t="str">
        <f>IFERROR(IF(F85="","",VLOOKUP(F85,'10. Condition and Temporal'!$B$6:$F$103,5,FALSE)), "Error ▲")</f>
        <v/>
      </c>
      <c r="K85" s="393"/>
      <c r="L85" s="391" t="str">
        <f t="shared" si="19"/>
        <v/>
      </c>
      <c r="M85" s="392" t="str">
        <f t="shared" si="20"/>
        <v/>
      </c>
      <c r="N85" s="393"/>
      <c r="O85" s="394"/>
      <c r="P85" s="249"/>
      <c r="Q85" s="1"/>
      <c r="R85" s="161"/>
      <c r="S85" s="1"/>
      <c r="T85" s="361" t="str">
        <f t="shared" si="21"/>
        <v/>
      </c>
      <c r="U85" s="379" t="str">
        <f t="shared" si="22"/>
        <v/>
      </c>
      <c r="V85" s="380" t="str">
        <f t="shared" ref="V85:X85" si="70">IF($D85="","",V30)</f>
        <v/>
      </c>
      <c r="W85" s="379" t="str">
        <f t="shared" si="70"/>
        <v/>
      </c>
      <c r="X85" s="215" t="str">
        <f t="shared" si="70"/>
        <v/>
      </c>
      <c r="Y85" s="365"/>
      <c r="Z85" s="365"/>
      <c r="AA85" s="365"/>
      <c r="AB85" s="215" t="str">
        <f t="shared" si="24"/>
        <v/>
      </c>
      <c r="AC85" s="558" t="str">
        <f t="shared" si="25"/>
        <v/>
      </c>
      <c r="AD85" s="380" t="str">
        <f t="shared" si="26"/>
        <v/>
      </c>
      <c r="AE85" s="559" t="str">
        <f t="shared" si="27"/>
        <v/>
      </c>
      <c r="AF85" s="560" t="str">
        <f t="shared" si="28"/>
        <v/>
      </c>
      <c r="AG85" s="379" t="str">
        <f>IF(D85="","",VLOOKUP(F85,'9. All Habitats + Multipliers'!$C$4:$K$102,5,FALSE))</f>
        <v/>
      </c>
      <c r="AH85" s="380" t="str">
        <f>IF(AG85="","",VLOOKUP(AG85,'11. Lists'!$S$47:$U$50,2,FALSE))</f>
        <v/>
      </c>
      <c r="AI85" s="560" t="str">
        <f t="shared" si="29"/>
        <v/>
      </c>
      <c r="AJ85" s="253" t="str">
        <f>IF(AI85="","",VLOOKUP(AI85,'11. Lists'!$F$47:$G$51,2,FALSE))</f>
        <v/>
      </c>
      <c r="AK85" s="419"/>
      <c r="AL85" s="419"/>
      <c r="AM85" s="419"/>
      <c r="AN85" s="251" t="str">
        <f t="shared" si="30"/>
        <v/>
      </c>
      <c r="AO85" s="561" t="str">
        <f>IF(AN85="","",VLOOKUP(AN85,'11. Lists'!$F$36:$H$38,2,FALSE))</f>
        <v/>
      </c>
      <c r="AP85" s="380" t="str">
        <f>IF(AN85="","",VLOOKUP(AN85,'11. Lists'!$F$36:$H$38,3,FALSE))</f>
        <v/>
      </c>
      <c r="AQ85" s="379" t="str">
        <f>IF(D85="","",IF(AX85="Distinctiveness","N/A",VLOOKUP(F85,'10. Condition and Temporal'!$B$6:$L$103,11,FALSE)))</f>
        <v/>
      </c>
      <c r="AR85" s="382" t="str">
        <f>IF(AQ85="","",IF(AQ85="N/A","1",VLOOKUP(AQ85,'11. Lists'!$I$47:$K$80,3,FALSE)))</f>
        <v/>
      </c>
      <c r="AS85" s="562" t="str">
        <f>IF(D85="","",IF(AX85="Condition","N/A",VLOOKUP(F85,'10. Condition and Temporal'!$B$6:$M$106,12,FALSE)))</f>
        <v/>
      </c>
      <c r="AT85" s="382" t="str">
        <f>IF(AS85="","",IF(AS85="N/A","1",VLOOKUP(AS85,'11. Lists'!$I$47:$K$80,3,FALSE)))</f>
        <v/>
      </c>
      <c r="AU85" s="561" t="str">
        <f>IF(D85="","",VLOOKUP(F85,'9. All Habitats + Multipliers'!$C$4:$K$102,8,FALSE))</f>
        <v/>
      </c>
      <c r="AV85" s="380" t="str">
        <f>IF(AU85="","",VLOOKUP(AU85,'11. Lists'!$J$35:$K$38,2,FALSE))</f>
        <v/>
      </c>
      <c r="AW85" s="379" t="str">
        <f>IF(D85="","",VLOOKUP(D85,'10. Condition and Temporal'!$B$6:$M$103,4,FALSE))</f>
        <v/>
      </c>
      <c r="AX85" s="380" t="str">
        <f t="shared" si="31"/>
        <v/>
      </c>
      <c r="AY85" s="1"/>
      <c r="AZ85" s="563"/>
      <c r="BA85" s="253">
        <v>20.0</v>
      </c>
      <c r="BB85" s="215" t="str">
        <f t="shared" si="32"/>
        <v/>
      </c>
      <c r="BC85" s="215" t="str">
        <f t="shared" si="33"/>
        <v/>
      </c>
      <c r="BD85" s="215" t="str">
        <f t="shared" si="34"/>
        <v/>
      </c>
      <c r="BE85" s="215" t="str">
        <f t="shared" si="35"/>
        <v/>
      </c>
      <c r="BF85" s="215" t="str">
        <f t="shared" si="36"/>
        <v/>
      </c>
      <c r="BG85" s="215" t="str">
        <f t="shared" si="37"/>
        <v/>
      </c>
      <c r="BH85" s="215" t="str">
        <f t="shared" si="38"/>
        <v/>
      </c>
      <c r="BI85" s="215" t="str">
        <f t="shared" si="39"/>
        <v/>
      </c>
      <c r="BJ85" s="215" t="str">
        <f t="shared" si="40"/>
        <v/>
      </c>
      <c r="BK85" s="215" t="str">
        <f t="shared" si="41"/>
        <v/>
      </c>
      <c r="BL85" s="215" t="str">
        <f t="shared" si="42"/>
        <v/>
      </c>
      <c r="BM85" s="215" t="str">
        <f t="shared" si="43"/>
        <v/>
      </c>
      <c r="BN85" s="215" t="str">
        <f t="shared" si="44"/>
        <v/>
      </c>
      <c r="BO85" s="215" t="str">
        <f t="shared" si="45"/>
        <v/>
      </c>
      <c r="BP85" s="215" t="str">
        <f t="shared" si="46"/>
        <v/>
      </c>
      <c r="BQ85" s="215" t="str">
        <f t="shared" si="47"/>
        <v/>
      </c>
      <c r="BR85" s="215" t="str">
        <f t="shared" si="48"/>
        <v/>
      </c>
      <c r="BS85" s="215" t="str">
        <f t="shared" si="49"/>
        <v/>
      </c>
      <c r="BT85" s="215" t="str">
        <f t="shared" si="50"/>
        <v/>
      </c>
      <c r="BU85" s="211" t="str">
        <f t="shared" si="51"/>
        <v/>
      </c>
      <c r="BV85" s="212" t="str">
        <f t="shared" si="52"/>
        <v/>
      </c>
      <c r="BW85" s="215" t="s">
        <v>205</v>
      </c>
      <c r="BX85" s="215">
        <f>BU64</f>
        <v>0</v>
      </c>
    </row>
    <row r="86" ht="14.25" customHeight="1">
      <c r="A86" s="1"/>
      <c r="B86" s="1"/>
      <c r="C86" s="1"/>
      <c r="D86" s="1"/>
      <c r="E86" s="1"/>
      <c r="F86" s="1"/>
      <c r="G86" s="1"/>
      <c r="H86" s="319" t="s">
        <v>256</v>
      </c>
      <c r="I86" s="568">
        <f>SUM(I66:I85)</f>
        <v>0</v>
      </c>
      <c r="J86" s="569"/>
      <c r="K86" s="1"/>
      <c r="L86" s="570">
        <f>SUM(L66:L85)</f>
        <v>0</v>
      </c>
      <c r="M86" s="538">
        <f>SUM(M66:N85)</f>
        <v>0</v>
      </c>
      <c r="N86" s="393"/>
      <c r="O86" s="1"/>
      <c r="P86" s="1"/>
      <c r="Q86" s="1"/>
      <c r="R86" s="16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row>
    <row r="87" ht="14.25" customHeight="1">
      <c r="A87" s="1"/>
      <c r="B87" s="1"/>
      <c r="C87" s="154"/>
      <c r="D87" s="1"/>
      <c r="E87" s="1"/>
      <c r="F87" s="1"/>
      <c r="G87" s="1"/>
      <c r="H87" s="1"/>
      <c r="I87" s="1"/>
      <c r="J87" s="1"/>
      <c r="K87" s="1"/>
      <c r="L87" s="1"/>
      <c r="M87" s="1"/>
      <c r="N87" s="1"/>
      <c r="O87" s="1"/>
      <c r="P87" s="1"/>
      <c r="Q87" s="1"/>
      <c r="R87" s="16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row>
    <row r="88" ht="14.25" customHeight="1">
      <c r="A88" s="1"/>
      <c r="B88" s="1"/>
      <c r="C88" s="1"/>
      <c r="D88" s="1"/>
      <c r="E88" s="1"/>
      <c r="F88" s="1"/>
      <c r="G88" s="1"/>
      <c r="H88" s="1"/>
      <c r="I88" s="1"/>
      <c r="J88" s="1"/>
      <c r="K88" s="1"/>
      <c r="L88" s="1"/>
      <c r="M88" s="1"/>
      <c r="N88" s="1"/>
      <c r="O88" s="1"/>
      <c r="P88" s="1"/>
      <c r="Q88" s="1"/>
      <c r="R88" s="20"/>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row>
    <row r="89" ht="18.75" customHeight="1">
      <c r="A89" s="1"/>
      <c r="B89" s="1"/>
      <c r="C89" s="1"/>
      <c r="D89" s="1"/>
      <c r="E89" s="1"/>
      <c r="F89" s="1"/>
      <c r="G89" s="1"/>
      <c r="H89" s="1"/>
      <c r="I89" s="1"/>
      <c r="J89" s="1"/>
      <c r="K89" s="1"/>
      <c r="L89" s="1"/>
      <c r="M89" s="1"/>
      <c r="N89" s="1"/>
      <c r="O89" s="1"/>
      <c r="P89" s="1"/>
      <c r="Q89" s="1"/>
      <c r="R89" s="153"/>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row>
    <row r="90" ht="14.25" customHeight="1">
      <c r="A90" s="1"/>
      <c r="B90" s="1"/>
      <c r="C90" s="1"/>
      <c r="D90" s="1"/>
      <c r="E90" s="1"/>
      <c r="F90" s="1"/>
      <c r="G90" s="1"/>
      <c r="H90" s="1"/>
      <c r="I90" s="1"/>
      <c r="J90" s="1"/>
      <c r="K90" s="1"/>
      <c r="L90" s="1"/>
      <c r="M90" s="1"/>
      <c r="N90" s="1"/>
      <c r="O90" s="1"/>
      <c r="P90" s="1"/>
      <c r="Q90" s="1"/>
      <c r="R90" s="16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row>
    <row r="91" ht="14.25" customHeight="1">
      <c r="A91" s="453" t="s">
        <v>220</v>
      </c>
      <c r="B91" s="3"/>
      <c r="C91" s="3"/>
      <c r="D91" s="3"/>
      <c r="E91" s="3"/>
      <c r="F91" s="3"/>
      <c r="G91" s="3"/>
      <c r="H91" s="3"/>
      <c r="I91" s="3"/>
      <c r="J91" s="3"/>
      <c r="K91" s="3"/>
      <c r="L91" s="3"/>
      <c r="M91" s="3"/>
      <c r="N91" s="3"/>
      <c r="O91" s="3"/>
      <c r="P91" s="3"/>
      <c r="Q91" s="4"/>
      <c r="R91" s="16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row>
    <row r="92" ht="14.25" customHeight="1">
      <c r="A92" s="5"/>
      <c r="Q92" s="6"/>
      <c r="R92" s="16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row>
    <row r="93" ht="14.25" customHeight="1">
      <c r="A93" s="7"/>
      <c r="B93" s="8"/>
      <c r="C93" s="8"/>
      <c r="D93" s="8"/>
      <c r="E93" s="8"/>
      <c r="F93" s="8"/>
      <c r="G93" s="8"/>
      <c r="H93" s="8"/>
      <c r="I93" s="8"/>
      <c r="J93" s="8"/>
      <c r="K93" s="8"/>
      <c r="L93" s="8"/>
      <c r="M93" s="8"/>
      <c r="N93" s="8"/>
      <c r="O93" s="8"/>
      <c r="P93" s="8"/>
      <c r="Q93" s="9"/>
      <c r="R93" s="16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row>
    <row r="94" ht="14.25" customHeight="1">
      <c r="A94" s="1"/>
      <c r="B94" s="1"/>
      <c r="C94" s="1"/>
      <c r="D94" s="1"/>
      <c r="E94" s="1"/>
      <c r="F94" s="1"/>
      <c r="G94" s="1"/>
      <c r="H94" s="1"/>
      <c r="I94" s="1"/>
      <c r="J94" s="1"/>
      <c r="K94" s="1"/>
      <c r="L94" s="1"/>
      <c r="M94" s="1"/>
      <c r="N94" s="1"/>
      <c r="O94" s="1"/>
      <c r="P94" s="1"/>
      <c r="Q94" s="1"/>
      <c r="R94" s="16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row>
    <row r="95" ht="14.25" customHeight="1">
      <c r="A95" s="1"/>
      <c r="B95" s="128" t="s">
        <v>221</v>
      </c>
      <c r="C95" s="1"/>
      <c r="D95" s="154"/>
      <c r="E95" s="154"/>
      <c r="F95" s="154"/>
      <c r="G95" s="154"/>
      <c r="H95" s="1"/>
      <c r="I95" s="1"/>
      <c r="J95" s="1"/>
      <c r="K95" s="1"/>
      <c r="L95" s="1"/>
      <c r="M95" s="1"/>
      <c r="N95" s="1"/>
      <c r="O95" s="1"/>
      <c r="P95" s="1"/>
      <c r="Q95" s="1"/>
      <c r="R95" s="16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row>
    <row r="96" ht="14.25" customHeight="1">
      <c r="A96" s="1"/>
      <c r="B96" s="1"/>
      <c r="C96" s="1"/>
      <c r="D96" s="1"/>
      <c r="E96" s="1"/>
      <c r="F96" s="1"/>
      <c r="G96" s="1"/>
      <c r="H96" s="1"/>
      <c r="I96" s="1"/>
      <c r="J96" s="1"/>
      <c r="K96" s="1"/>
      <c r="L96" s="1"/>
      <c r="M96" s="1"/>
      <c r="N96" s="1"/>
      <c r="O96" s="1"/>
      <c r="P96" s="1"/>
      <c r="Q96" s="1"/>
      <c r="R96" s="16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row>
    <row r="97" ht="36.0" customHeight="1">
      <c r="A97" s="1"/>
      <c r="B97" s="571" t="s">
        <v>261</v>
      </c>
      <c r="C97" s="241"/>
      <c r="D97" s="56"/>
      <c r="E97" s="572" t="str">
        <f t="array" ref="E97">IF(OR(H103:H113="No ▲"),"Error - Trading Rules Not Satisfied ▲","Trading Rules Satisfied ✓")</f>
        <v>Error - Trading Rules Not Satisfied ▲</v>
      </c>
      <c r="F97" s="241"/>
      <c r="G97" s="241"/>
      <c r="H97" s="241"/>
      <c r="I97" s="239"/>
      <c r="J97" s="10">
        <f>IFERROR(FIND("Error",E97),0)</f>
        <v>1</v>
      </c>
      <c r="K97" s="1"/>
      <c r="L97" s="1"/>
      <c r="M97" s="1"/>
      <c r="N97" s="1"/>
      <c r="O97" s="1"/>
      <c r="P97" s="1"/>
      <c r="Q97" s="1"/>
      <c r="R97" s="20"/>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row>
    <row r="98" ht="14.25" customHeight="1">
      <c r="A98" s="1"/>
      <c r="B98" s="1"/>
      <c r="C98" s="1"/>
      <c r="D98" s="1"/>
      <c r="E98" s="1"/>
      <c r="F98" s="1"/>
      <c r="G98" s="1"/>
      <c r="H98" s="1"/>
      <c r="I98" s="1"/>
      <c r="J98" s="1"/>
      <c r="K98" s="1"/>
      <c r="L98" s="1"/>
      <c r="M98" s="1"/>
      <c r="N98" s="1"/>
      <c r="O98" s="1"/>
      <c r="P98" s="1"/>
      <c r="Q98" s="1"/>
      <c r="R98" s="153"/>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row>
    <row r="99" ht="14.25" customHeight="1">
      <c r="A99" s="1"/>
      <c r="B99" s="128" t="s">
        <v>224</v>
      </c>
      <c r="C99" s="1"/>
      <c r="D99" s="1"/>
      <c r="E99" s="1"/>
      <c r="F99" s="1"/>
      <c r="G99" s="1"/>
      <c r="H99" s="1"/>
      <c r="I99" s="1"/>
      <c r="J99" s="1"/>
      <c r="K99" s="1"/>
      <c r="L99" s="1"/>
      <c r="M99" s="1"/>
      <c r="N99" s="1"/>
      <c r="O99" s="1"/>
      <c r="P99" s="1"/>
      <c r="Q99" s="1"/>
      <c r="R99" s="16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row>
    <row r="100" ht="14.25" customHeight="1">
      <c r="A100" s="1"/>
      <c r="B100" s="1"/>
      <c r="C100" s="1"/>
      <c r="D100" s="1"/>
      <c r="E100" s="1"/>
      <c r="F100" s="1"/>
      <c r="G100" s="1"/>
      <c r="H100" s="1"/>
      <c r="I100" s="1"/>
      <c r="J100" s="1"/>
      <c r="K100" s="1"/>
      <c r="L100" s="1"/>
      <c r="M100" s="1"/>
      <c r="N100" s="1"/>
      <c r="O100" s="1"/>
      <c r="P100" s="1"/>
      <c r="Q100" s="1"/>
      <c r="R100" s="20"/>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row>
    <row r="101" ht="14.25" customHeight="1">
      <c r="A101" s="1"/>
      <c r="B101" s="1"/>
      <c r="C101" s="1"/>
      <c r="D101" s="1"/>
      <c r="E101" s="1"/>
      <c r="F101" s="1"/>
      <c r="G101" s="1"/>
      <c r="H101" s="1"/>
      <c r="I101" s="1"/>
      <c r="J101" s="1"/>
      <c r="K101" s="1"/>
      <c r="L101" s="1"/>
      <c r="M101" s="1"/>
      <c r="N101" s="1"/>
      <c r="O101" s="1"/>
      <c r="P101" s="1"/>
      <c r="Q101" s="1"/>
      <c r="R101" s="153"/>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row>
    <row r="102" ht="51.0" customHeight="1">
      <c r="A102" s="1"/>
      <c r="B102" s="573" t="s">
        <v>162</v>
      </c>
      <c r="C102" s="574" t="s">
        <v>107</v>
      </c>
      <c r="D102" s="574" t="s">
        <v>72</v>
      </c>
      <c r="E102" s="574" t="s">
        <v>227</v>
      </c>
      <c r="F102" s="574" t="s">
        <v>228</v>
      </c>
      <c r="G102" s="574" t="s">
        <v>229</v>
      </c>
      <c r="H102" s="575" t="s">
        <v>230</v>
      </c>
      <c r="I102" s="461"/>
      <c r="J102" s="1"/>
      <c r="K102" s="1"/>
      <c r="L102" s="1"/>
      <c r="M102" s="1"/>
      <c r="N102" s="1"/>
      <c r="O102" s="1"/>
      <c r="P102" s="1"/>
      <c r="Q102" s="1"/>
      <c r="R102" s="16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row>
    <row r="103" ht="30.75" customHeight="1">
      <c r="A103" s="1"/>
      <c r="B103" s="576" t="s">
        <v>253</v>
      </c>
      <c r="C103" s="577" t="s">
        <v>234</v>
      </c>
      <c r="D103" s="578" t="s">
        <v>262</v>
      </c>
      <c r="E103" s="579">
        <f t="shared" ref="E103:E107" si="71">SUMIF($D$11:$E$30,D103,$L$11:$L$30)</f>
        <v>0</v>
      </c>
      <c r="F103" s="579">
        <f t="shared" ref="F103:F107" si="72">IF($I$31+$I$59+$I$86=0,0,SUMIF($D$39:$D$58,D103,$L$39:$N$58)+SUMIF($F$66:$G$85,D103,$L$66:$L$85)+SUMIF($D$11:$E$30,D103,$AE$11:$AE$30))</f>
        <v>0</v>
      </c>
      <c r="G103" s="579">
        <f>$F$103-$E$103</f>
        <v>0</v>
      </c>
      <c r="H103" s="580" t="str">
        <f>IF(G108&gt;=0, "Yes ✓", "No ▲")</f>
        <v>Yes ✓</v>
      </c>
      <c r="I103" s="461"/>
      <c r="J103" s="1"/>
      <c r="K103" s="1"/>
      <c r="L103" s="1"/>
      <c r="M103" s="1"/>
      <c r="N103" s="1"/>
      <c r="O103" s="1"/>
      <c r="P103" s="1"/>
      <c r="Q103" s="1"/>
      <c r="R103" s="16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row>
    <row r="104" ht="30.75" customHeight="1">
      <c r="A104" s="1"/>
      <c r="B104" s="76"/>
      <c r="C104" s="581"/>
      <c r="D104" s="582" t="s">
        <v>263</v>
      </c>
      <c r="E104" s="583">
        <f t="shared" si="71"/>
        <v>0</v>
      </c>
      <c r="F104" s="583">
        <f t="shared" si="72"/>
        <v>0</v>
      </c>
      <c r="G104" s="583">
        <f>$F$104-$E$104</f>
        <v>0</v>
      </c>
      <c r="H104" s="584"/>
      <c r="I104" s="461"/>
      <c r="J104" s="1"/>
      <c r="K104" s="1"/>
      <c r="L104" s="1"/>
      <c r="M104" s="1"/>
      <c r="N104" s="1"/>
      <c r="O104" s="1"/>
      <c r="P104" s="1"/>
      <c r="Q104" s="1"/>
      <c r="R104" s="16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row>
    <row r="105" ht="30.75" customHeight="1">
      <c r="A105" s="1"/>
      <c r="B105" s="76"/>
      <c r="C105" s="581"/>
      <c r="D105" s="582" t="s">
        <v>264</v>
      </c>
      <c r="E105" s="583">
        <f t="shared" si="71"/>
        <v>0</v>
      </c>
      <c r="F105" s="583">
        <f t="shared" si="72"/>
        <v>0</v>
      </c>
      <c r="G105" s="583">
        <f>$F$105-$E$105</f>
        <v>0</v>
      </c>
      <c r="H105" s="584"/>
      <c r="I105" s="461"/>
      <c r="J105" s="1"/>
      <c r="K105" s="1"/>
      <c r="L105" s="1"/>
      <c r="M105" s="1"/>
      <c r="N105" s="1"/>
      <c r="O105" s="1"/>
      <c r="P105" s="1"/>
      <c r="Q105" s="1"/>
      <c r="R105" s="16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row>
    <row r="106" ht="30.75" customHeight="1">
      <c r="A106" s="1"/>
      <c r="B106" s="76"/>
      <c r="C106" s="581"/>
      <c r="D106" s="582" t="s">
        <v>265</v>
      </c>
      <c r="E106" s="583">
        <f t="shared" si="71"/>
        <v>0</v>
      </c>
      <c r="F106" s="583">
        <f t="shared" si="72"/>
        <v>0</v>
      </c>
      <c r="G106" s="583">
        <f>$F$106-$E$106</f>
        <v>0</v>
      </c>
      <c r="H106" s="584"/>
      <c r="I106" s="461"/>
      <c r="J106" s="1"/>
      <c r="K106" s="1"/>
      <c r="L106" s="1"/>
      <c r="M106" s="1"/>
      <c r="N106" s="1"/>
      <c r="O106" s="1"/>
      <c r="P106" s="1"/>
      <c r="Q106" s="1"/>
      <c r="R106" s="16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row>
    <row r="107" ht="30.75" customHeight="1">
      <c r="A107" s="1"/>
      <c r="B107" s="76"/>
      <c r="C107" s="581"/>
      <c r="D107" s="582" t="s">
        <v>266</v>
      </c>
      <c r="E107" s="583">
        <f t="shared" si="71"/>
        <v>0</v>
      </c>
      <c r="F107" s="583">
        <f t="shared" si="72"/>
        <v>0</v>
      </c>
      <c r="G107" s="583">
        <f>$F$107-$E$107</f>
        <v>0</v>
      </c>
      <c r="H107" s="584"/>
      <c r="I107" s="10"/>
      <c r="J107" s="1"/>
      <c r="K107" s="1"/>
      <c r="L107" s="1"/>
      <c r="M107" s="1"/>
      <c r="N107" s="1"/>
      <c r="O107" s="1"/>
      <c r="P107" s="1"/>
      <c r="Q107" s="1"/>
      <c r="R107" s="16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row>
    <row r="108" ht="30.75" customHeight="1">
      <c r="A108" s="1"/>
      <c r="B108" s="76"/>
      <c r="C108" s="138"/>
      <c r="D108" s="585" t="s">
        <v>267</v>
      </c>
      <c r="E108" s="586">
        <f>SUM($E$103:$E$107)</f>
        <v>0</v>
      </c>
      <c r="F108" s="586">
        <f>SUM($F$103:$F$107)</f>
        <v>0</v>
      </c>
      <c r="G108" s="586">
        <f>SUM($G$103:$G$107)</f>
        <v>0</v>
      </c>
      <c r="H108" s="587"/>
      <c r="I108" s="10">
        <f>IF($H$103="No ▲",1,0)</f>
        <v>0</v>
      </c>
      <c r="J108" s="1"/>
      <c r="K108" s="1"/>
      <c r="L108" s="1"/>
      <c r="M108" s="1"/>
      <c r="N108" s="1"/>
      <c r="O108" s="1"/>
      <c r="P108" s="1"/>
      <c r="Q108" s="1"/>
      <c r="R108" s="16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row>
    <row r="109" ht="30.75" customHeight="1">
      <c r="A109" s="1"/>
      <c r="B109" s="76"/>
      <c r="C109" s="577" t="s">
        <v>232</v>
      </c>
      <c r="D109" s="578" t="s">
        <v>255</v>
      </c>
      <c r="E109" s="579">
        <f t="shared" ref="E109:E111" si="73">SUMIF($D$11:$E$30,D109,$L$11:$L$30)</f>
        <v>0.06</v>
      </c>
      <c r="F109" s="579">
        <f t="shared" ref="F109:F111" si="74">IF($I$31+$I$59+$I$86=0,0,SUMIF($D$39:$D$58,D109,$L$39:$N$58)+SUMIF($F$66:$G$85,D109,$L$66:$L$85)+SUMIF($D$11:$E$30,D109,$AE$11:$AE$30))</f>
        <v>0.06</v>
      </c>
      <c r="G109" s="579">
        <f>$F$109-$E$109</f>
        <v>0</v>
      </c>
      <c r="H109" s="580" t="str">
        <f>IF(G112&gt;=0,"Yes ✓",IF(E114&gt;=0,"Yes ✓","No ▲"))</f>
        <v>Yes ✓</v>
      </c>
      <c r="I109" s="10"/>
      <c r="J109" s="1"/>
      <c r="K109" s="1"/>
      <c r="L109" s="1"/>
      <c r="M109" s="1"/>
      <c r="N109" s="1"/>
      <c r="O109" s="1"/>
      <c r="P109" s="1"/>
      <c r="Q109" s="1"/>
      <c r="R109" s="16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row>
    <row r="110" ht="30.75" customHeight="1">
      <c r="A110" s="1"/>
      <c r="B110" s="76"/>
      <c r="C110" s="581"/>
      <c r="D110" s="582" t="s">
        <v>268</v>
      </c>
      <c r="E110" s="583">
        <f t="shared" si="73"/>
        <v>0</v>
      </c>
      <c r="F110" s="583">
        <f t="shared" si="74"/>
        <v>0</v>
      </c>
      <c r="G110" s="583">
        <f>$F$110-$E$110</f>
        <v>0</v>
      </c>
      <c r="H110" s="584"/>
      <c r="I110" s="10"/>
      <c r="J110" s="1"/>
      <c r="K110" s="1"/>
      <c r="L110" s="1"/>
      <c r="M110" s="1"/>
      <c r="N110" s="1"/>
      <c r="O110" s="1"/>
      <c r="P110" s="1"/>
      <c r="Q110" s="1"/>
      <c r="R110" s="16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row>
    <row r="111" ht="30.75" customHeight="1">
      <c r="A111" s="1"/>
      <c r="B111" s="76"/>
      <c r="C111" s="581"/>
      <c r="D111" s="582" t="s">
        <v>269</v>
      </c>
      <c r="E111" s="583">
        <f t="shared" si="73"/>
        <v>0</v>
      </c>
      <c r="F111" s="583">
        <f t="shared" si="74"/>
        <v>0</v>
      </c>
      <c r="G111" s="583">
        <f>$F$111-$E$111</f>
        <v>0</v>
      </c>
      <c r="H111" s="584"/>
      <c r="I111" s="10"/>
      <c r="J111" s="1"/>
      <c r="K111" s="1"/>
      <c r="L111" s="1"/>
      <c r="M111" s="1"/>
      <c r="N111" s="1"/>
      <c r="O111" s="1"/>
      <c r="P111" s="1"/>
      <c r="Q111" s="1"/>
      <c r="R111" s="16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row>
    <row r="112" ht="30.75" customHeight="1">
      <c r="A112" s="1"/>
      <c r="B112" s="76"/>
      <c r="C112" s="138"/>
      <c r="D112" s="585" t="s">
        <v>267</v>
      </c>
      <c r="E112" s="586">
        <f>SUM($E$109:$E$111)</f>
        <v>0.06</v>
      </c>
      <c r="F112" s="586">
        <f>SUM($F$109:$F$111)</f>
        <v>0.06</v>
      </c>
      <c r="G112" s="586">
        <f>SUM($G$109:$G$111)</f>
        <v>0</v>
      </c>
      <c r="H112" s="587"/>
      <c r="I112" s="10">
        <f>IF($H$109="No ▲",1,0)</f>
        <v>0</v>
      </c>
      <c r="J112" s="1"/>
      <c r="K112" s="1"/>
      <c r="L112" s="1"/>
      <c r="M112" s="1"/>
      <c r="N112" s="1"/>
      <c r="O112" s="1"/>
      <c r="P112" s="1"/>
      <c r="Q112" s="1"/>
      <c r="R112" s="16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row>
    <row r="113" ht="30.75" customHeight="1">
      <c r="A113" s="1"/>
      <c r="B113" s="79"/>
      <c r="C113" s="588" t="s">
        <v>270</v>
      </c>
      <c r="D113" s="589" t="s">
        <v>254</v>
      </c>
      <c r="E113" s="590">
        <f>SUMIF($D$11:$E$30,D113,$L$11:$L$30)</f>
        <v>0.1</v>
      </c>
      <c r="F113" s="590">
        <f>IF($I$31+$I$59+$I$86=0,0,SUMIF($D$39:$D$58,D113,$L$39:$N$58)+SUMIF($F$66:$G$85,D113,$L$66:$L$85)+SUMIF($D$11:$E$30,D113,$AE$11:$AE$30))</f>
        <v>0.091</v>
      </c>
      <c r="G113" s="590">
        <f>$F$113-$E$113</f>
        <v>-0.009</v>
      </c>
      <c r="H113" s="591" t="str">
        <f>IF(G113&gt;=0,"Yes✓",IF(F114&gt;=0,"Yes ✓","No ▲"))</f>
        <v>No ▲</v>
      </c>
      <c r="I113" s="10">
        <f>IF($H$113="No ▲",1,0)</f>
        <v>1</v>
      </c>
      <c r="J113" s="1"/>
      <c r="K113" s="1"/>
      <c r="L113" s="1"/>
      <c r="M113" s="1"/>
      <c r="N113" s="1"/>
      <c r="O113" s="1"/>
      <c r="P113" s="1"/>
      <c r="Q113" s="1"/>
      <c r="R113" s="16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row>
    <row r="114" ht="14.25" customHeight="1">
      <c r="A114" s="1"/>
      <c r="B114" s="1"/>
      <c r="C114" s="1"/>
      <c r="D114" s="1"/>
      <c r="E114" s="592">
        <f>G108+G112</f>
        <v>0</v>
      </c>
      <c r="F114" s="484">
        <f>IF(G108&lt;0,0,($G$108+$G$112+$G$113))</f>
        <v>-0.009</v>
      </c>
      <c r="G114" s="1"/>
      <c r="H114" s="1"/>
      <c r="I114" s="461"/>
      <c r="J114" s="1"/>
      <c r="K114" s="1"/>
      <c r="L114" s="1"/>
      <c r="M114" s="1"/>
      <c r="N114" s="1"/>
      <c r="O114" s="1"/>
      <c r="P114" s="1"/>
      <c r="Q114" s="1"/>
      <c r="R114" s="16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row>
    <row r="115" ht="24.75" customHeight="1">
      <c r="A115" s="1"/>
      <c r="B115" s="593" t="s">
        <v>271</v>
      </c>
      <c r="C115" s="179"/>
      <c r="D115" s="179"/>
      <c r="E115" s="122"/>
      <c r="F115" s="594">
        <f>$G$108</f>
        <v>0</v>
      </c>
      <c r="G115" s="595">
        <f>IF($G$108&lt;=0,0,($G$108+$G$112))</f>
        <v>0</v>
      </c>
      <c r="H115" s="1"/>
      <c r="I115" s="461"/>
      <c r="J115" s="1"/>
      <c r="K115" s="1"/>
      <c r="L115" s="1"/>
      <c r="M115" s="1"/>
      <c r="N115" s="1"/>
      <c r="O115" s="1"/>
      <c r="P115" s="1"/>
      <c r="Q115" s="1"/>
      <c r="R115" s="16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row>
    <row r="116" ht="21.75" customHeight="1">
      <c r="A116" s="1"/>
      <c r="B116" s="596" t="s">
        <v>272</v>
      </c>
      <c r="C116" s="42"/>
      <c r="D116" s="42"/>
      <c r="E116" s="47"/>
      <c r="F116" s="597">
        <f>IF($G$108&gt;0,($G$112+$G$108),$G$112)</f>
        <v>0</v>
      </c>
      <c r="G116" s="595">
        <f>IF($G$108&lt;=0,0,($G$108+$G$112+$G$113))</f>
        <v>0</v>
      </c>
      <c r="H116" s="1"/>
      <c r="I116" s="1"/>
      <c r="J116" s="1"/>
      <c r="K116" s="1"/>
      <c r="L116" s="1"/>
      <c r="M116" s="1"/>
      <c r="N116" s="1"/>
      <c r="O116" s="1"/>
      <c r="P116" s="1"/>
      <c r="Q116" s="1"/>
      <c r="R116" s="16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row>
    <row r="117" ht="24.0" customHeight="1">
      <c r="A117" s="1"/>
      <c r="B117" s="598" t="s">
        <v>273</v>
      </c>
      <c r="C117" s="53"/>
      <c r="D117" s="53"/>
      <c r="E117" s="51"/>
      <c r="F117" s="599">
        <f>IF($F$116&gt;0,($F$116+$G$113),$G$113)</f>
        <v>-0.009</v>
      </c>
      <c r="G117" s="595"/>
      <c r="H117" s="1"/>
      <c r="I117" s="1"/>
      <c r="J117" s="1"/>
      <c r="K117" s="1"/>
      <c r="L117" s="1"/>
      <c r="M117" s="1"/>
      <c r="N117" s="1"/>
      <c r="O117" s="1"/>
      <c r="P117" s="1"/>
      <c r="Q117" s="1"/>
      <c r="R117" s="16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row>
    <row r="118" ht="14.25" customHeight="1">
      <c r="A118" s="1"/>
      <c r="B118" s="1"/>
      <c r="C118" s="1"/>
      <c r="D118" s="1"/>
      <c r="E118" s="1"/>
      <c r="F118" s="1"/>
      <c r="G118" s="595"/>
      <c r="H118" s="1"/>
      <c r="I118" s="1"/>
      <c r="J118" s="1"/>
      <c r="K118" s="1"/>
      <c r="L118" s="1"/>
      <c r="M118" s="1"/>
      <c r="N118" s="1"/>
      <c r="O118" s="1"/>
      <c r="P118" s="1"/>
      <c r="Q118" s="1"/>
      <c r="R118" s="16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row>
    <row r="119" ht="14.25" customHeight="1">
      <c r="A119" s="1"/>
      <c r="B119" s="1"/>
      <c r="C119" s="1"/>
      <c r="D119" s="1"/>
      <c r="E119" s="1"/>
      <c r="F119" s="1"/>
      <c r="G119" s="1"/>
      <c r="H119" s="1"/>
      <c r="I119" s="1"/>
      <c r="J119" s="1"/>
      <c r="K119" s="1"/>
      <c r="L119" s="1"/>
      <c r="M119" s="1"/>
      <c r="N119" s="1"/>
      <c r="O119" s="1"/>
      <c r="P119" s="1"/>
      <c r="Q119" s="1"/>
      <c r="R119" s="16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ht="14.25" customHeight="1">
      <c r="A120" s="1"/>
      <c r="B120" s="1"/>
      <c r="C120" s="1"/>
      <c r="D120" s="1"/>
      <c r="E120" s="1"/>
      <c r="F120" s="1"/>
      <c r="G120" s="1"/>
      <c r="H120" s="1"/>
      <c r="I120" s="1"/>
      <c r="J120" s="1"/>
      <c r="K120" s="1"/>
      <c r="L120" s="1"/>
      <c r="M120" s="1"/>
      <c r="N120" s="1"/>
      <c r="O120" s="1"/>
      <c r="P120" s="1"/>
      <c r="Q120" s="1"/>
      <c r="R120" s="16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ht="14.25" customHeight="1">
      <c r="A121" s="1"/>
      <c r="B121" s="1"/>
      <c r="C121" s="1"/>
      <c r="D121" s="1"/>
      <c r="E121" s="1"/>
      <c r="F121" s="1"/>
      <c r="G121" s="1"/>
      <c r="H121" s="1"/>
      <c r="I121" s="1"/>
      <c r="J121" s="1"/>
      <c r="K121" s="1"/>
      <c r="L121" s="1"/>
      <c r="M121" s="1"/>
      <c r="N121" s="1"/>
      <c r="O121" s="1"/>
      <c r="P121" s="1"/>
      <c r="Q121" s="1"/>
      <c r="R121" s="16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ht="14.25" customHeight="1">
      <c r="A122" s="1"/>
      <c r="B122" s="1"/>
      <c r="C122" s="1"/>
      <c r="D122" s="1"/>
      <c r="E122" s="1"/>
      <c r="F122" s="1"/>
      <c r="G122" s="1"/>
      <c r="H122" s="1"/>
      <c r="I122" s="1"/>
      <c r="J122" s="1"/>
      <c r="K122" s="1"/>
      <c r="L122" s="1"/>
      <c r="M122" s="1"/>
      <c r="N122" s="1"/>
      <c r="O122" s="1"/>
      <c r="P122" s="1"/>
      <c r="Q122" s="1"/>
      <c r="R122" s="16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ht="14.25" customHeight="1">
      <c r="A123" s="1"/>
      <c r="B123" s="1"/>
      <c r="C123" s="1"/>
      <c r="D123" s="1"/>
      <c r="E123" s="1"/>
      <c r="F123" s="1"/>
      <c r="G123" s="1"/>
      <c r="H123" s="1"/>
      <c r="I123" s="1"/>
      <c r="J123" s="1"/>
      <c r="K123" s="1"/>
      <c r="L123" s="1"/>
      <c r="M123" s="1"/>
      <c r="N123" s="1"/>
      <c r="O123" s="1"/>
      <c r="P123" s="1"/>
      <c r="Q123" s="1"/>
      <c r="R123" s="16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ht="14.25" customHeight="1">
      <c r="A124" s="1"/>
      <c r="B124" s="1"/>
      <c r="C124" s="1"/>
      <c r="D124" s="1"/>
      <c r="E124" s="1"/>
      <c r="F124" s="1"/>
      <c r="G124" s="1"/>
      <c r="H124" s="1"/>
      <c r="I124" s="1"/>
      <c r="J124" s="1"/>
      <c r="K124" s="1"/>
      <c r="L124" s="1"/>
      <c r="M124" s="1"/>
      <c r="N124" s="1"/>
      <c r="O124" s="1"/>
      <c r="P124" s="1"/>
      <c r="Q124" s="1"/>
      <c r="R124" s="16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ht="14.25" customHeight="1">
      <c r="A125" s="1"/>
      <c r="B125" s="1"/>
      <c r="C125" s="1"/>
      <c r="D125" s="1"/>
      <c r="E125" s="1"/>
      <c r="F125" s="1"/>
      <c r="G125" s="1"/>
      <c r="H125" s="1"/>
      <c r="I125" s="1"/>
      <c r="J125" s="1"/>
      <c r="K125" s="1"/>
      <c r="L125" s="1"/>
      <c r="M125" s="1"/>
      <c r="N125" s="1"/>
      <c r="O125" s="1"/>
      <c r="P125" s="1"/>
      <c r="Q125" s="1"/>
      <c r="R125" s="16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ht="14.25" customHeight="1">
      <c r="A126" s="1"/>
      <c r="B126" s="1"/>
      <c r="C126" s="1"/>
      <c r="D126" s="1"/>
      <c r="E126" s="1"/>
      <c r="F126" s="1"/>
      <c r="G126" s="1"/>
      <c r="H126" s="1"/>
      <c r="I126" s="1"/>
      <c r="J126" s="1"/>
      <c r="K126" s="1"/>
      <c r="L126" s="1"/>
      <c r="M126" s="1"/>
      <c r="N126" s="1"/>
      <c r="O126" s="1"/>
      <c r="P126" s="1"/>
      <c r="Q126" s="1"/>
      <c r="R126" s="16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ht="14.25" customHeight="1">
      <c r="A127" s="1"/>
      <c r="B127" s="1"/>
      <c r="C127" s="1"/>
      <c r="D127" s="1"/>
      <c r="E127" s="1"/>
      <c r="F127" s="1"/>
      <c r="G127" s="1"/>
      <c r="H127" s="1"/>
      <c r="I127" s="1"/>
      <c r="J127" s="1"/>
      <c r="K127" s="1"/>
      <c r="L127" s="1"/>
      <c r="M127" s="1"/>
      <c r="N127" s="1"/>
      <c r="O127" s="1"/>
      <c r="P127" s="1"/>
      <c r="Q127" s="1"/>
      <c r="R127" s="20"/>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73">
    <mergeCell ref="F11:H11"/>
    <mergeCell ref="D12:E12"/>
    <mergeCell ref="F12:H12"/>
    <mergeCell ref="D30:E30"/>
    <mergeCell ref="F30:H30"/>
    <mergeCell ref="I32:N32"/>
    <mergeCell ref="I33:N33"/>
    <mergeCell ref="R1:R31"/>
    <mergeCell ref="C2:D2"/>
    <mergeCell ref="F2:H6"/>
    <mergeCell ref="J2:M5"/>
    <mergeCell ref="C3:D3"/>
    <mergeCell ref="B9:B10"/>
    <mergeCell ref="C9:E9"/>
    <mergeCell ref="J64:K65"/>
    <mergeCell ref="J66:K66"/>
    <mergeCell ref="J67:K67"/>
    <mergeCell ref="B64:B65"/>
    <mergeCell ref="C64:D64"/>
    <mergeCell ref="E64:G64"/>
    <mergeCell ref="H64:H65"/>
    <mergeCell ref="I64:I65"/>
    <mergeCell ref="F65:G65"/>
    <mergeCell ref="F66:G66"/>
    <mergeCell ref="J70:K70"/>
    <mergeCell ref="J71:K71"/>
    <mergeCell ref="F67:G67"/>
    <mergeCell ref="F68:G68"/>
    <mergeCell ref="J68:K68"/>
    <mergeCell ref="F69:G69"/>
    <mergeCell ref="J69:K69"/>
    <mergeCell ref="F70:G70"/>
    <mergeCell ref="F71:G71"/>
    <mergeCell ref="F72:G72"/>
    <mergeCell ref="J72:K72"/>
    <mergeCell ref="F73:G73"/>
    <mergeCell ref="J73:K73"/>
    <mergeCell ref="F74:G74"/>
    <mergeCell ref="J74:K74"/>
    <mergeCell ref="J75:K75"/>
    <mergeCell ref="J79:K79"/>
    <mergeCell ref="J80:K80"/>
    <mergeCell ref="F75:G75"/>
    <mergeCell ref="F76:G76"/>
    <mergeCell ref="F77:G77"/>
    <mergeCell ref="F78:G78"/>
    <mergeCell ref="J78:K78"/>
    <mergeCell ref="F79:G79"/>
    <mergeCell ref="F80:G80"/>
    <mergeCell ref="F81:G81"/>
    <mergeCell ref="J81:K81"/>
    <mergeCell ref="F82:G82"/>
    <mergeCell ref="J82:K82"/>
    <mergeCell ref="F83:G83"/>
    <mergeCell ref="J83:K83"/>
    <mergeCell ref="J84:K84"/>
    <mergeCell ref="J85:K85"/>
    <mergeCell ref="C103:C108"/>
    <mergeCell ref="C109:C112"/>
    <mergeCell ref="B103:B113"/>
    <mergeCell ref="B115:E115"/>
    <mergeCell ref="B116:E116"/>
    <mergeCell ref="B117:E117"/>
    <mergeCell ref="F84:G84"/>
    <mergeCell ref="F85:G85"/>
    <mergeCell ref="A91:Q93"/>
    <mergeCell ref="B97:D97"/>
    <mergeCell ref="E97:I97"/>
    <mergeCell ref="H103:H108"/>
    <mergeCell ref="H109:H112"/>
    <mergeCell ref="D23:E23"/>
    <mergeCell ref="F23:H23"/>
    <mergeCell ref="D24:E24"/>
    <mergeCell ref="F24:H24"/>
    <mergeCell ref="D25:E25"/>
    <mergeCell ref="F25:H25"/>
    <mergeCell ref="D26:E26"/>
    <mergeCell ref="F26:H26"/>
    <mergeCell ref="D27:E27"/>
    <mergeCell ref="F27:H27"/>
    <mergeCell ref="F43:G43"/>
    <mergeCell ref="I43:K43"/>
    <mergeCell ref="L43:N43"/>
    <mergeCell ref="L44:N44"/>
    <mergeCell ref="L45:N45"/>
    <mergeCell ref="L46:N46"/>
    <mergeCell ref="L47:N47"/>
    <mergeCell ref="J76:K76"/>
    <mergeCell ref="J77:K77"/>
    <mergeCell ref="O64:P64"/>
    <mergeCell ref="M66:N66"/>
    <mergeCell ref="M79:N79"/>
    <mergeCell ref="M80:N80"/>
    <mergeCell ref="M81:N81"/>
    <mergeCell ref="M82:N82"/>
    <mergeCell ref="M83:N83"/>
    <mergeCell ref="M84:N84"/>
    <mergeCell ref="M85:N85"/>
    <mergeCell ref="M86:N86"/>
    <mergeCell ref="R89:R97"/>
    <mergeCell ref="R98:R100"/>
    <mergeCell ref="R101:R127"/>
    <mergeCell ref="L37:N38"/>
    <mergeCell ref="O37:P37"/>
    <mergeCell ref="L39:N39"/>
    <mergeCell ref="L40:N40"/>
    <mergeCell ref="L41:N41"/>
    <mergeCell ref="L42:N42"/>
    <mergeCell ref="R63:R88"/>
    <mergeCell ref="L64:L65"/>
    <mergeCell ref="M64:N65"/>
    <mergeCell ref="M67:N67"/>
    <mergeCell ref="M68:N68"/>
    <mergeCell ref="M69:N69"/>
    <mergeCell ref="M70:N70"/>
    <mergeCell ref="M71:N71"/>
    <mergeCell ref="M72:N72"/>
    <mergeCell ref="M73:N73"/>
    <mergeCell ref="M74:N74"/>
    <mergeCell ref="M75:N75"/>
    <mergeCell ref="M76:N76"/>
    <mergeCell ref="M77:N77"/>
    <mergeCell ref="M78:N78"/>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F9:H10"/>
    <mergeCell ref="I9:K9"/>
    <mergeCell ref="T10:U10"/>
    <mergeCell ref="T11:U11"/>
    <mergeCell ref="T12:U12"/>
    <mergeCell ref="AH9:AH10"/>
    <mergeCell ref="AI9:AI10"/>
    <mergeCell ref="L9:N9"/>
    <mergeCell ref="O9:P9"/>
    <mergeCell ref="T9:V9"/>
    <mergeCell ref="W9:X9"/>
    <mergeCell ref="Y9:AA9"/>
    <mergeCell ref="AB9:AD9"/>
    <mergeCell ref="AE9:AG9"/>
    <mergeCell ref="D10:E10"/>
    <mergeCell ref="D11:E11"/>
    <mergeCell ref="D13:E13"/>
    <mergeCell ref="F13:H13"/>
    <mergeCell ref="T13:U13"/>
    <mergeCell ref="D14:E14"/>
    <mergeCell ref="F14:H14"/>
    <mergeCell ref="T14:U14"/>
    <mergeCell ref="D15:E15"/>
    <mergeCell ref="F15:H15"/>
    <mergeCell ref="T15:U15"/>
    <mergeCell ref="T16:U16"/>
    <mergeCell ref="T17:U17"/>
    <mergeCell ref="T18:U18"/>
    <mergeCell ref="T19:U19"/>
    <mergeCell ref="D28:E28"/>
    <mergeCell ref="F28:H28"/>
    <mergeCell ref="D29:E29"/>
    <mergeCell ref="F29:H29"/>
    <mergeCell ref="B37:B38"/>
    <mergeCell ref="C37:D37"/>
    <mergeCell ref="E37:G37"/>
    <mergeCell ref="H37:H38"/>
    <mergeCell ref="I37:K38"/>
    <mergeCell ref="I41:K41"/>
    <mergeCell ref="I42:K42"/>
    <mergeCell ref="F38:G38"/>
    <mergeCell ref="F39:G39"/>
    <mergeCell ref="I39:K39"/>
    <mergeCell ref="F40:G40"/>
    <mergeCell ref="I40:K40"/>
    <mergeCell ref="F41:G41"/>
    <mergeCell ref="F42:G42"/>
    <mergeCell ref="F44:G44"/>
    <mergeCell ref="I44:K44"/>
    <mergeCell ref="F45:G45"/>
    <mergeCell ref="I45:K45"/>
    <mergeCell ref="F46:G46"/>
    <mergeCell ref="I46:K46"/>
    <mergeCell ref="I47:K47"/>
    <mergeCell ref="F54:G54"/>
    <mergeCell ref="F55:G55"/>
    <mergeCell ref="F56:G56"/>
    <mergeCell ref="F57:G57"/>
    <mergeCell ref="F58:G58"/>
    <mergeCell ref="F47:G47"/>
    <mergeCell ref="F48:G48"/>
    <mergeCell ref="F49:G49"/>
    <mergeCell ref="F50:G50"/>
    <mergeCell ref="F51:G51"/>
    <mergeCell ref="F52:G52"/>
    <mergeCell ref="F53:G53"/>
    <mergeCell ref="I55:K55"/>
    <mergeCell ref="I56:K56"/>
    <mergeCell ref="I57:K57"/>
    <mergeCell ref="I58:K58"/>
    <mergeCell ref="I59:K59"/>
    <mergeCell ref="I48:K48"/>
    <mergeCell ref="I49:K49"/>
    <mergeCell ref="I50:K50"/>
    <mergeCell ref="I51:K51"/>
    <mergeCell ref="I52:K52"/>
    <mergeCell ref="I53:K53"/>
    <mergeCell ref="I54:K54"/>
    <mergeCell ref="T48:U48"/>
    <mergeCell ref="T49:U49"/>
    <mergeCell ref="T50:U50"/>
    <mergeCell ref="T51:U51"/>
    <mergeCell ref="T52:U52"/>
    <mergeCell ref="T53:U53"/>
    <mergeCell ref="T54:U54"/>
    <mergeCell ref="T55:U55"/>
    <mergeCell ref="T56:U56"/>
    <mergeCell ref="T57:U57"/>
    <mergeCell ref="T64:AD64"/>
    <mergeCell ref="AE64:AE65"/>
    <mergeCell ref="AF64:AP64"/>
    <mergeCell ref="AQ64:AQ65"/>
    <mergeCell ref="AR64:AX64"/>
    <mergeCell ref="T27:U27"/>
    <mergeCell ref="T28:U28"/>
    <mergeCell ref="T29:U29"/>
    <mergeCell ref="T30:U30"/>
    <mergeCell ref="R34:R62"/>
    <mergeCell ref="T37:V37"/>
    <mergeCell ref="W37:X37"/>
    <mergeCell ref="T58:U58"/>
    <mergeCell ref="T20:U20"/>
    <mergeCell ref="T21:U21"/>
    <mergeCell ref="T22:U22"/>
    <mergeCell ref="T23:U23"/>
    <mergeCell ref="T24:U24"/>
    <mergeCell ref="T25:U25"/>
    <mergeCell ref="T26:U26"/>
    <mergeCell ref="Y37:AA37"/>
    <mergeCell ref="AB37:AD37"/>
    <mergeCell ref="AE37:AF37"/>
    <mergeCell ref="AG37:AH37"/>
    <mergeCell ref="T38:U38"/>
    <mergeCell ref="T39:U39"/>
    <mergeCell ref="T40:U40"/>
    <mergeCell ref="T41:U41"/>
    <mergeCell ref="T42:U42"/>
    <mergeCell ref="T43:U43"/>
    <mergeCell ref="T44:U44"/>
    <mergeCell ref="T45:U45"/>
    <mergeCell ref="T46:U46"/>
    <mergeCell ref="T47:U47"/>
    <mergeCell ref="L55:N55"/>
    <mergeCell ref="L56:N56"/>
    <mergeCell ref="L57:N57"/>
    <mergeCell ref="L58:N58"/>
    <mergeCell ref="L59:N59"/>
    <mergeCell ref="I60:N60"/>
    <mergeCell ref="A63:A65"/>
    <mergeCell ref="L48:N48"/>
    <mergeCell ref="L49:N49"/>
    <mergeCell ref="L50:N50"/>
    <mergeCell ref="L51:N51"/>
    <mergeCell ref="L52:N52"/>
    <mergeCell ref="L53:N53"/>
    <mergeCell ref="L54:N54"/>
  </mergeCells>
  <conditionalFormatting sqref="AG11:AG30">
    <cfRule type="cellIs" dxfId="1" priority="1" operator="equal">
      <formula>"Unacceptable Loss"</formula>
    </cfRule>
  </conditionalFormatting>
  <conditionalFormatting sqref="X11:X30">
    <cfRule type="cellIs" dxfId="1" priority="2" operator="equal">
      <formula>"Not Possible"</formula>
    </cfRule>
  </conditionalFormatting>
  <conditionalFormatting sqref="AG11:AG30">
    <cfRule type="cellIs" dxfId="1" priority="3" operator="equal">
      <formula>"Unacceptable Loss"</formula>
    </cfRule>
  </conditionalFormatting>
  <conditionalFormatting sqref="AG11:AG30">
    <cfRule type="cellIs" dxfId="1" priority="4" operator="equal">
      <formula>"Unacceptable Loss"</formula>
    </cfRule>
  </conditionalFormatting>
  <conditionalFormatting sqref="I31">
    <cfRule type="cellIs" dxfId="1" priority="5" operator="greaterThan">
      <formula>5000</formula>
    </cfRule>
  </conditionalFormatting>
  <conditionalFormatting sqref="E97">
    <cfRule type="containsText" dxfId="10" priority="6" operator="containsText" text="Trading Rules Satisfied">
      <formula>NOT(ISERROR(SEARCH(("Trading Rules Satisfied"),(E97))))</formula>
    </cfRule>
  </conditionalFormatting>
  <conditionalFormatting sqref="E97">
    <cfRule type="containsText" dxfId="1" priority="7" operator="containsText" text="Error - Trading Rules Not Satisfied">
      <formula>NOT(ISERROR(SEARCH(("Error - Trading Rules Not Satisfied"),(E97))))</formula>
    </cfRule>
  </conditionalFormatting>
  <conditionalFormatting sqref="J2 O6:P6">
    <cfRule type="containsText" dxfId="11" priority="8" operator="containsText" text="Errors Present On Sheet">
      <formula>NOT(ISERROR(SEARCH(("Errors Present On Sheet"),(J2))))</formula>
    </cfRule>
  </conditionalFormatting>
  <conditionalFormatting sqref="X39:X58">
    <cfRule type="cellIs" dxfId="1" priority="9" operator="equal">
      <formula>"Not Possible"</formula>
    </cfRule>
  </conditionalFormatting>
  <conditionalFormatting sqref="I86">
    <cfRule type="expression" dxfId="1" priority="10">
      <formula>"p18=""Avoid"""</formula>
    </cfRule>
  </conditionalFormatting>
  <conditionalFormatting sqref="I86">
    <cfRule type="cellIs" dxfId="1" priority="11" operator="equal">
      <formula>"Any loss Unacceptable"</formula>
    </cfRule>
  </conditionalFormatting>
  <conditionalFormatting sqref="I86">
    <cfRule type="cellIs" dxfId="1" priority="12" operator="equal">
      <formula>"Any loss Unacceptable"</formula>
    </cfRule>
  </conditionalFormatting>
  <conditionalFormatting sqref="L86:M86">
    <cfRule type="expression" dxfId="1" priority="13">
      <formula>"p18=""Avoid"""</formula>
    </cfRule>
  </conditionalFormatting>
  <conditionalFormatting sqref="L86:M86">
    <cfRule type="cellIs" dxfId="1" priority="14" operator="equal">
      <formula>"Any loss Unacceptable"</formula>
    </cfRule>
  </conditionalFormatting>
  <conditionalFormatting sqref="L86:M86">
    <cfRule type="cellIs" dxfId="1" priority="15" operator="equal">
      <formula>"Any loss Unacceptable"</formula>
    </cfRule>
  </conditionalFormatting>
  <conditionalFormatting sqref="F39">
    <cfRule type="containsBlanks" dxfId="13" priority="16" stopIfTrue="1">
      <formula>LEN(TRIM(F39))=0</formula>
    </cfRule>
  </conditionalFormatting>
  <conditionalFormatting sqref="F39">
    <cfRule type="expression" dxfId="9" priority="17">
      <formula>ISNUMBER(SEARCH(F39,E39,1))</formula>
    </cfRule>
  </conditionalFormatting>
  <conditionalFormatting sqref="K11:K30">
    <cfRule type="expression" dxfId="14" priority="18">
      <formula>$AI11="Enhancement not possible"</formula>
    </cfRule>
  </conditionalFormatting>
  <conditionalFormatting sqref="I32:N32">
    <cfRule type="containsText" dxfId="1" priority="19" operator="containsText" text="error">
      <formula>NOT(ISERROR(SEARCH(("error"),(I32))))</formula>
    </cfRule>
  </conditionalFormatting>
  <conditionalFormatting sqref="I32:N32">
    <cfRule type="containsText" dxfId="9" priority="20" operator="containsText" text="acceptable">
      <formula>NOT(ISERROR(SEARCH(("acceptable"),(I32))))</formula>
    </cfRule>
  </conditionalFormatting>
  <conditionalFormatting sqref="J2">
    <cfRule type="containsText" dxfId="1" priority="21" operator="containsText" text="Technical">
      <formula>NOT(ISERROR(SEARCH(("Technical"),(J2))))</formula>
    </cfRule>
  </conditionalFormatting>
  <conditionalFormatting sqref="F40:F42">
    <cfRule type="containsBlanks" dxfId="13" priority="22" stopIfTrue="1">
      <formula>LEN(TRIM(F40))=0</formula>
    </cfRule>
  </conditionalFormatting>
  <conditionalFormatting sqref="F40:F42">
    <cfRule type="expression" dxfId="9" priority="23">
      <formula>ISNUMBER(SEARCH(F40,E40,1))</formula>
    </cfRule>
  </conditionalFormatting>
  <conditionalFormatting sqref="F43:F58">
    <cfRule type="containsBlanks" dxfId="13" priority="24" stopIfTrue="1">
      <formula>LEN(TRIM(F43))=0</formula>
    </cfRule>
  </conditionalFormatting>
  <conditionalFormatting sqref="F43:F58">
    <cfRule type="expression" dxfId="9" priority="25">
      <formula>ISNUMBER(SEARCH(F43,E43,1))</formula>
    </cfRule>
  </conditionalFormatting>
  <conditionalFormatting sqref="M66:M85">
    <cfRule type="cellIs" dxfId="1" priority="26" operator="equal">
      <formula>"Unacceptable Loss"</formula>
    </cfRule>
  </conditionalFormatting>
  <conditionalFormatting sqref="M66:M85">
    <cfRule type="cellIs" dxfId="6" priority="27" operator="equal">
      <formula>"Compensation Agreed"</formula>
    </cfRule>
  </conditionalFormatting>
  <conditionalFormatting sqref="M66:M85">
    <cfRule type="cellIs" dxfId="1" priority="28" operator="equal">
      <formula>"Unacceptable Loss"</formula>
    </cfRule>
  </conditionalFormatting>
  <conditionalFormatting sqref="M66:M85">
    <cfRule type="cellIs" dxfId="1" priority="29" operator="equal">
      <formula>"Unacceptable Loss"</formula>
    </cfRule>
  </conditionalFormatting>
  <conditionalFormatting sqref="M66:M85">
    <cfRule type="cellIs" dxfId="1" priority="30" operator="equal">
      <formula>"Unacceptable Loss"</formula>
    </cfRule>
  </conditionalFormatting>
  <conditionalFormatting sqref="M66:M85">
    <cfRule type="cellIs" dxfId="6" priority="31" operator="equal">
      <formula>"Compensation Agreed"</formula>
    </cfRule>
  </conditionalFormatting>
  <conditionalFormatting sqref="M66:M85">
    <cfRule type="cellIs" dxfId="1" priority="32" operator="equal">
      <formula>"Unacceptable Loss"</formula>
    </cfRule>
  </conditionalFormatting>
  <conditionalFormatting sqref="M66:M85">
    <cfRule type="cellIs" dxfId="1" priority="33" operator="equal">
      <formula>"Unacceptable Loss"</formula>
    </cfRule>
  </conditionalFormatting>
  <conditionalFormatting sqref="M66:M85">
    <cfRule type="cellIs" dxfId="9" priority="34" operator="equal">
      <formula>"Alternative Compensation"</formula>
    </cfRule>
  </conditionalFormatting>
  <conditionalFormatting sqref="F66:G85">
    <cfRule type="containsText" dxfId="1" priority="35" operator="containsText" text="not possible">
      <formula>NOT(ISERROR(SEARCH(("not possible"),(F66))))</formula>
    </cfRule>
  </conditionalFormatting>
  <conditionalFormatting sqref="F66:G85">
    <cfRule type="expression" dxfId="16" priority="36">
      <formula>$D66=""</formula>
    </cfRule>
  </conditionalFormatting>
  <conditionalFormatting sqref="E66:E85">
    <cfRule type="cellIs" dxfId="1" priority="37" operator="equal">
      <formula>"Enhancement not possible"</formula>
    </cfRule>
  </conditionalFormatting>
  <conditionalFormatting sqref="AJ66:AJ85">
    <cfRule type="cellIs" dxfId="12" priority="38" operator="equal">
      <formula>"Not Possible"</formula>
    </cfRule>
  </conditionalFormatting>
  <conditionalFormatting sqref="L11:M30">
    <cfRule type="expression" dxfId="1" priority="39">
      <formula>"p18=""Avoid"""</formula>
    </cfRule>
  </conditionalFormatting>
  <conditionalFormatting sqref="L11:M30">
    <cfRule type="cellIs" dxfId="1" priority="40" operator="equal">
      <formula>"Any loss Unacceptable"</formula>
    </cfRule>
  </conditionalFormatting>
  <conditionalFormatting sqref="L11:M30">
    <cfRule type="cellIs" dxfId="1" priority="41" operator="equal">
      <formula>"Any loss Unacceptable"</formula>
    </cfRule>
  </conditionalFormatting>
  <conditionalFormatting sqref="N11:N30">
    <cfRule type="containsText" dxfId="1" priority="42" operator="containsText" text="▲">
      <formula>NOT(ISERROR(SEARCH(("▲"),(N11))))</formula>
    </cfRule>
  </conditionalFormatting>
  <conditionalFormatting sqref="N11:N30">
    <cfRule type="cellIs" dxfId="1" priority="43" operator="equal">
      <formula>"Unacceptable Loss"</formula>
    </cfRule>
  </conditionalFormatting>
  <conditionalFormatting sqref="N11:N30">
    <cfRule type="cellIs" dxfId="1" priority="44" operator="equal">
      <formula>"Unacceptable Loss"</formula>
    </cfRule>
  </conditionalFormatting>
  <conditionalFormatting sqref="N11:N30">
    <cfRule type="cellIs" dxfId="6" priority="45" operator="equal">
      <formula>"Compensation Agreed"</formula>
    </cfRule>
  </conditionalFormatting>
  <conditionalFormatting sqref="N11:N30">
    <cfRule type="cellIs" dxfId="1" priority="46" operator="equal">
      <formula>"Unacceptable Loss"</formula>
    </cfRule>
  </conditionalFormatting>
  <conditionalFormatting sqref="N11:N30">
    <cfRule type="cellIs" dxfId="1" priority="47" operator="equal">
      <formula>"Unacceptable Loss"</formula>
    </cfRule>
  </conditionalFormatting>
  <conditionalFormatting sqref="N11:N30">
    <cfRule type="cellIs" dxfId="6" priority="48" operator="equal">
      <formula>"Compensation Agreed"</formula>
    </cfRule>
  </conditionalFormatting>
  <conditionalFormatting sqref="N11:N30">
    <cfRule type="cellIs" dxfId="1" priority="49" operator="equal">
      <formula>"Unacceptable Loss"</formula>
    </cfRule>
  </conditionalFormatting>
  <conditionalFormatting sqref="N11:N30">
    <cfRule type="cellIs" dxfId="1" priority="50" operator="equal">
      <formula>"Unacceptable Loss"</formula>
    </cfRule>
  </conditionalFormatting>
  <conditionalFormatting sqref="N11:N30">
    <cfRule type="cellIs" dxfId="9" priority="51" operator="equal">
      <formula>"Alternative Compensation"</formula>
    </cfRule>
  </conditionalFormatting>
  <conditionalFormatting sqref="M11:M30">
    <cfRule type="containsText" dxfId="1" priority="52" operator="containsText" text="error">
      <formula>NOT(ISERROR(SEARCH(("error"),(M11))))</formula>
    </cfRule>
  </conditionalFormatting>
  <conditionalFormatting sqref="N11:N30">
    <cfRule type="containsText" dxfId="1" priority="53" operator="containsText" text="error">
      <formula>NOT(ISERROR(SEARCH(("error"),(N11))))</formula>
    </cfRule>
  </conditionalFormatting>
  <conditionalFormatting sqref="L11:L30">
    <cfRule type="containsText" dxfId="1" priority="54" operator="containsText" text="value">
      <formula>NOT(ISERROR(SEARCH(("value"),(L11))))</formula>
    </cfRule>
  </conditionalFormatting>
  <conditionalFormatting sqref="L11:L30">
    <cfRule type="containsText" dxfId="1" priority="55" operator="containsText" text="▲">
      <formula>NOT(ISERROR(SEARCH(("▲"),(L11))))</formula>
    </cfRule>
  </conditionalFormatting>
  <conditionalFormatting sqref="L39:M58">
    <cfRule type="cellIs" dxfId="1" priority="56" operator="equal">
      <formula>"Unacceptable Loss"</formula>
    </cfRule>
  </conditionalFormatting>
  <conditionalFormatting sqref="L39:M58">
    <cfRule type="cellIs" dxfId="6" priority="57" operator="equal">
      <formula>"Compensation Agreed"</formula>
    </cfRule>
  </conditionalFormatting>
  <conditionalFormatting sqref="L39:M58">
    <cfRule type="cellIs" dxfId="1" priority="58" operator="equal">
      <formula>"Unacceptable Loss"</formula>
    </cfRule>
  </conditionalFormatting>
  <conditionalFormatting sqref="L39:M58">
    <cfRule type="cellIs" dxfId="1" priority="59" operator="equal">
      <formula>"Unacceptable Loss"</formula>
    </cfRule>
  </conditionalFormatting>
  <conditionalFormatting sqref="L39:M58">
    <cfRule type="cellIs" dxfId="1" priority="60" operator="equal">
      <formula>"Unacceptable Loss"</formula>
    </cfRule>
  </conditionalFormatting>
  <conditionalFormatting sqref="L39:M58">
    <cfRule type="cellIs" dxfId="6" priority="61" operator="equal">
      <formula>"Compensation Agreed"</formula>
    </cfRule>
  </conditionalFormatting>
  <conditionalFormatting sqref="L39:M58">
    <cfRule type="cellIs" dxfId="1" priority="62" operator="equal">
      <formula>"Unacceptable Loss"</formula>
    </cfRule>
  </conditionalFormatting>
  <conditionalFormatting sqref="L39:M58">
    <cfRule type="cellIs" dxfId="1" priority="63" operator="equal">
      <formula>"Unacceptable Loss"</formula>
    </cfRule>
  </conditionalFormatting>
  <conditionalFormatting sqref="L39:M58">
    <cfRule type="cellIs" dxfId="9" priority="64" operator="equal">
      <formula>"Alternative Compensation"</formula>
    </cfRule>
  </conditionalFormatting>
  <conditionalFormatting sqref="L39:N58">
    <cfRule type="containsText" dxfId="1" priority="65" operator="containsText" text="▲">
      <formula>NOT(ISERROR(SEARCH(("▲"),(L39))))</formula>
    </cfRule>
  </conditionalFormatting>
  <conditionalFormatting sqref="L39:N58">
    <cfRule type="containsText" dxfId="1" priority="66" operator="containsText" text="value">
      <formula>NOT(ISERROR(SEARCH(("value"),(L39))))</formula>
    </cfRule>
  </conditionalFormatting>
  <conditionalFormatting sqref="L66:L85">
    <cfRule type="cellIs" dxfId="1" priority="67" operator="equal">
      <formula>"Unacceptable Loss"</formula>
    </cfRule>
  </conditionalFormatting>
  <conditionalFormatting sqref="L66:L85">
    <cfRule type="cellIs" dxfId="6" priority="68" operator="equal">
      <formula>"Compensation Agreed"</formula>
    </cfRule>
  </conditionalFormatting>
  <conditionalFormatting sqref="L66:L85">
    <cfRule type="cellIs" dxfId="1" priority="69" operator="equal">
      <formula>"Unacceptable Loss"</formula>
    </cfRule>
  </conditionalFormatting>
  <conditionalFormatting sqref="L66:L85">
    <cfRule type="cellIs" dxfId="1" priority="70" operator="equal">
      <formula>"Unacceptable Loss"</formula>
    </cfRule>
  </conditionalFormatting>
  <conditionalFormatting sqref="L66:L85">
    <cfRule type="cellIs" dxfId="1" priority="71" operator="equal">
      <formula>"Unacceptable Loss"</formula>
    </cfRule>
  </conditionalFormatting>
  <conditionalFormatting sqref="L66:L85">
    <cfRule type="cellIs" dxfId="6" priority="72" operator="equal">
      <formula>"Compensation Agreed"</formula>
    </cfRule>
  </conditionalFormatting>
  <conditionalFormatting sqref="L66:L85">
    <cfRule type="cellIs" dxfId="1" priority="73" operator="equal">
      <formula>"Unacceptable Loss"</formula>
    </cfRule>
  </conditionalFormatting>
  <conditionalFormatting sqref="L66:L85">
    <cfRule type="cellIs" dxfId="1" priority="74" operator="equal">
      <formula>"Unacceptable Loss"</formula>
    </cfRule>
  </conditionalFormatting>
  <conditionalFormatting sqref="L66:L85">
    <cfRule type="cellIs" dxfId="9" priority="75" operator="equal">
      <formula>"Alternative Compensation"</formula>
    </cfRule>
  </conditionalFormatting>
  <conditionalFormatting sqref="L66:L85">
    <cfRule type="containsText" dxfId="1" priority="76" operator="containsText" text="▲">
      <formula>NOT(ISERROR(SEARCH(("▲"),(L66))))</formula>
    </cfRule>
  </conditionalFormatting>
  <conditionalFormatting sqref="I33:N33">
    <cfRule type="containsText" dxfId="1" priority="77" operator="containsText" text="▲">
      <formula>NOT(ISERROR(SEARCH(("▲"),(I33))))</formula>
    </cfRule>
  </conditionalFormatting>
  <conditionalFormatting sqref="I33:N33">
    <cfRule type="containsText" dxfId="9" priority="78" operator="containsText" text="✓">
      <formula>NOT(ISERROR(SEARCH(("✓"),(I33))))</formula>
    </cfRule>
  </conditionalFormatting>
  <conditionalFormatting sqref="I60:N60">
    <cfRule type="containsText" dxfId="1" priority="79" operator="containsText" text="▲">
      <formula>NOT(ISERROR(SEARCH(("▲"),(I60))))</formula>
    </cfRule>
  </conditionalFormatting>
  <conditionalFormatting sqref="I60:N60">
    <cfRule type="containsText" dxfId="9" priority="80" operator="containsText" text="✓">
      <formula>NOT(ISERROR(SEARCH(("✓"),(I60))))</formula>
    </cfRule>
  </conditionalFormatting>
  <conditionalFormatting sqref="I59:K59">
    <cfRule type="cellIs" dxfId="1" priority="81" operator="greaterThan">
      <formula>5000</formula>
    </cfRule>
  </conditionalFormatting>
  <conditionalFormatting sqref="M66:N85">
    <cfRule type="containsText" dxfId="1" priority="82" operator="containsText" text="Error">
      <formula>NOT(ISERROR(SEARCH(("Error"),(M66))))</formula>
    </cfRule>
  </conditionalFormatting>
  <conditionalFormatting sqref="J66:K85">
    <cfRule type="containsText" dxfId="1" priority="83" operator="containsText" text="▲">
      <formula>NOT(ISERROR(SEARCH(("▲"),(J66))))</formula>
    </cfRule>
  </conditionalFormatting>
  <conditionalFormatting sqref="P1:P5">
    <cfRule type="containsText" dxfId="1" priority="84" operator="containsText" text="▲">
      <formula>NOT(ISERROR(SEARCH(("▲"),(P1))))</formula>
    </cfRule>
  </conditionalFormatting>
  <conditionalFormatting sqref="H103 H109 H113">
    <cfRule type="containsText" dxfId="1" priority="85" operator="containsText" text="No">
      <formula>NOT(ISERROR(SEARCH(("No"),(H103))))</formula>
    </cfRule>
  </conditionalFormatting>
  <conditionalFormatting sqref="H103 H109 H113">
    <cfRule type="containsText" dxfId="10" priority="86" operator="containsText" text="Yes">
      <formula>NOT(ISERROR(SEARCH(("Yes"),(H103))))</formula>
    </cfRule>
  </conditionalFormatting>
  <dataValidations>
    <dataValidation type="list" allowBlank="1" showErrorMessage="1" sqref="F11:F30 H39:H58 H66:H85">
      <formula1>'11. Lists'!$F$36:$F$37</formula1>
    </dataValidation>
    <dataValidation type="list" allowBlank="1" showErrorMessage="1" sqref="F66:F85">
      <formula1>INDIRECT(BV66)</formula1>
    </dataValidation>
    <dataValidation type="list" allowBlank="1" showErrorMessage="1" sqref="F39:F58">
      <formula1>'11. Lists'!$F$47:$F$51</formula1>
    </dataValidation>
    <dataValidation type="list" allowBlank="1" showErrorMessage="1" sqref="D11:D30 D39:D58">
      <formula1>INDIRECT(SUBSTITUTE(C11," ",""))</formula1>
    </dataValidation>
  </dataValidation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33CC"/>
    <pageSetUpPr fitToPage="1"/>
  </sheetPr>
  <sheetViews>
    <sheetView workbookViewId="0"/>
  </sheetViews>
  <sheetFormatPr customHeight="1" defaultColWidth="14.43" defaultRowHeight="15.0"/>
  <cols>
    <col customWidth="1" min="1" max="1" width="4.57"/>
    <col customWidth="1" min="2" max="2" width="14.71"/>
    <col customWidth="1" min="3" max="3" width="24.43"/>
    <col customWidth="1" min="4" max="4" width="40.29"/>
    <col customWidth="1" min="5" max="5" width="27.0"/>
    <col customWidth="1" min="6" max="6" width="20.57"/>
    <col customWidth="1" min="7" max="7" width="33.29"/>
    <col customWidth="1" min="8" max="8" width="35.29"/>
    <col customWidth="1" min="9" max="9" width="14.57"/>
    <col customWidth="1" min="10" max="10" width="12.71"/>
    <col customWidth="1" min="11" max="11" width="11.43"/>
    <col customWidth="1" min="12" max="12" width="13.0"/>
    <col customWidth="1" min="13" max="14" width="11.43"/>
    <col customWidth="1" min="15" max="16" width="27.0"/>
    <col customWidth="1" min="17" max="18" width="11.43"/>
    <col customWidth="1" min="19" max="19" width="7.29"/>
    <col customWidth="1" min="20" max="20" width="14.43"/>
    <col customWidth="1" min="21" max="21" width="14.71"/>
    <col customWidth="1" min="22" max="22" width="20.71"/>
    <col customWidth="1" min="23" max="23" width="23.71"/>
    <col customWidth="1" min="24" max="24" width="16.71"/>
    <col customWidth="1" hidden="1" min="25" max="25" width="14.0"/>
    <col customWidth="1" hidden="1" min="26" max="26" width="21.29"/>
    <col customWidth="1" hidden="1" min="27" max="27" width="14.0"/>
    <col customWidth="1" min="28" max="28" width="33.71"/>
    <col customWidth="1" min="29" max="30" width="32.71"/>
    <col customWidth="1" min="31" max="31" width="18.71"/>
    <col customWidth="1" min="32" max="32" width="23.71"/>
    <col customWidth="1" min="33" max="33" width="16.71"/>
    <col customWidth="1" min="34" max="34" width="35.71"/>
    <col customWidth="1" min="35" max="35" width="76.29"/>
    <col customWidth="1" min="36" max="36" width="23.57"/>
    <col customWidth="1" hidden="1" min="37" max="37" width="4.43"/>
    <col customWidth="1" hidden="1" min="38" max="38" width="5.29"/>
    <col customWidth="1" hidden="1" min="39" max="39" width="6.71"/>
    <col customWidth="1" min="40" max="40" width="12.29"/>
    <col customWidth="1" min="41" max="41" width="34.29"/>
    <col customWidth="1" min="42" max="42" width="19.71"/>
    <col customWidth="1" min="43" max="43" width="16.29"/>
    <col customWidth="1" min="44" max="47" width="27.29"/>
    <col customWidth="1" min="48" max="48" width="21.29"/>
    <col customWidth="1" min="49" max="49" width="37.57"/>
    <col customWidth="1" min="50" max="50" width="68.29"/>
    <col customWidth="1" min="51" max="51" width="26.57"/>
    <col customWidth="1" min="52" max="52" width="24.43"/>
    <col customWidth="1" min="53" max="76" width="8.71"/>
  </cols>
  <sheetData>
    <row r="1" ht="15.75" customHeight="1">
      <c r="A1" s="1"/>
      <c r="B1" s="1"/>
      <c r="C1" s="1"/>
      <c r="D1" s="1"/>
      <c r="E1" s="1"/>
      <c r="F1" s="1"/>
      <c r="G1" s="1"/>
      <c r="H1" s="1"/>
      <c r="I1" s="150"/>
      <c r="J1" s="150"/>
      <c r="K1" s="150"/>
      <c r="L1" s="150"/>
      <c r="M1" s="150"/>
      <c r="N1" s="150"/>
      <c r="O1" s="151" t="s">
        <v>76</v>
      </c>
      <c r="P1" s="152">
        <f>IFERROR(SUM(AE11:AE30), "Error ▲")</f>
        <v>0</v>
      </c>
      <c r="Q1" s="1"/>
      <c r="R1" s="153" t="s">
        <v>77</v>
      </c>
      <c r="S1" s="1"/>
      <c r="T1" s="154"/>
      <c r="U1" s="1"/>
      <c r="V1" s="1"/>
      <c r="W1" s="1"/>
      <c r="X1" s="1"/>
      <c r="Y1" s="1"/>
      <c r="Z1" s="1"/>
      <c r="AA1" s="1"/>
      <c r="AB1" s="1"/>
      <c r="AC1" s="1"/>
      <c r="AD1" s="1"/>
      <c r="AE1" s="1"/>
      <c r="AF1" s="1"/>
      <c r="AG1" s="1"/>
      <c r="AH1" s="1"/>
      <c r="AI1" s="1"/>
      <c r="AJ1" s="10"/>
      <c r="AK1" s="10"/>
      <c r="AL1" s="10"/>
      <c r="AM1" s="10"/>
      <c r="AN1" s="10"/>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ht="19.5" customHeight="1">
      <c r="A2" s="1"/>
      <c r="B2" s="155" t="s">
        <v>78</v>
      </c>
      <c r="C2" s="156" t="str">
        <f>IF('2. Site Details'!D4="","Enter site name on 2. Site Details",'2. Site Details'!D4)</f>
        <v>279 Long Lane, Uxbridge</v>
      </c>
      <c r="D2" s="60"/>
      <c r="E2" s="1"/>
      <c r="F2" s="157" t="s">
        <v>274</v>
      </c>
      <c r="G2" s="26"/>
      <c r="H2" s="27"/>
      <c r="I2" s="158"/>
      <c r="J2" s="159" t="str">
        <f t="array" ref="J2">IFERROR(IF(OR((ISNUMBER(SEARCH("▲",A7:Q101)))),"Input Errors Present On Sheet - Red Cells Or ▲ Highlight Errors","All Key Rules Satisfied ✓ "),"Technical Errors On Sheet ▲")</f>
        <v>All Key Rules Satisfied ✓ </v>
      </c>
      <c r="K2" s="3"/>
      <c r="L2" s="3"/>
      <c r="M2" s="4"/>
      <c r="N2" s="158"/>
      <c r="O2" s="160" t="s">
        <v>80</v>
      </c>
      <c r="P2" s="152">
        <f>IFERROR(N31, "Error ▲")</f>
        <v>0</v>
      </c>
      <c r="Q2" s="1"/>
      <c r="R2" s="161"/>
      <c r="S2" s="1"/>
      <c r="T2" s="154"/>
      <c r="U2" s="1"/>
      <c r="V2" s="1"/>
      <c r="W2" s="1"/>
      <c r="X2" s="1"/>
      <c r="Y2" s="1"/>
      <c r="Z2" s="1"/>
      <c r="AA2" s="1"/>
      <c r="AB2" s="1"/>
      <c r="AC2" s="1"/>
      <c r="AD2" s="1"/>
      <c r="AE2" s="1"/>
      <c r="AF2" s="1"/>
      <c r="AG2" s="1"/>
      <c r="AH2" s="1"/>
      <c r="AI2" s="1"/>
      <c r="AJ2" s="10"/>
      <c r="AK2" s="10"/>
      <c r="AL2" s="10"/>
      <c r="AM2" s="10"/>
      <c r="AN2" s="10"/>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ht="19.5" customHeight="1">
      <c r="A3" s="1"/>
      <c r="B3" s="162" t="s">
        <v>16</v>
      </c>
      <c r="C3" s="163" t="s">
        <v>275</v>
      </c>
      <c r="D3" s="54"/>
      <c r="E3" s="1"/>
      <c r="F3" s="164"/>
      <c r="H3" s="165"/>
      <c r="I3" s="158"/>
      <c r="J3" s="5"/>
      <c r="M3" s="6"/>
      <c r="N3" s="158"/>
      <c r="O3" s="160" t="s">
        <v>82</v>
      </c>
      <c r="P3" s="152">
        <f>IFERROR(L59, "Error ▲")</f>
        <v>0</v>
      </c>
      <c r="Q3" s="1"/>
      <c r="R3" s="161"/>
      <c r="S3" s="1"/>
      <c r="T3" s="154"/>
      <c r="U3" s="1"/>
      <c r="V3" s="1"/>
      <c r="W3" s="1"/>
      <c r="X3" s="1"/>
      <c r="Y3" s="1"/>
      <c r="Z3" s="1"/>
      <c r="AA3" s="1"/>
      <c r="AB3" s="1"/>
      <c r="AC3" s="1"/>
      <c r="AD3" s="1"/>
      <c r="AE3" s="1"/>
      <c r="AF3" s="1"/>
      <c r="AG3" s="1"/>
      <c r="AH3" s="1"/>
      <c r="AI3" s="1"/>
      <c r="AJ3" s="10"/>
      <c r="AK3" s="10"/>
      <c r="AL3" s="10"/>
      <c r="AM3" s="10"/>
      <c r="AN3" s="10"/>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row>
    <row r="4" ht="19.5" customHeight="1">
      <c r="A4" s="1"/>
      <c r="B4" s="166"/>
      <c r="C4" s="166"/>
      <c r="D4" s="166"/>
      <c r="E4" s="1"/>
      <c r="F4" s="164"/>
      <c r="H4" s="165"/>
      <c r="I4" s="158"/>
      <c r="J4" s="5"/>
      <c r="M4" s="6"/>
      <c r="N4" s="158"/>
      <c r="O4" s="160" t="s">
        <v>83</v>
      </c>
      <c r="P4" s="152">
        <f>IFERROR(L86, "Error ▲")</f>
        <v>0</v>
      </c>
      <c r="Q4" s="1"/>
      <c r="R4" s="161"/>
      <c r="S4" s="1"/>
      <c r="T4" s="154"/>
      <c r="U4" s="1"/>
      <c r="V4" s="1"/>
      <c r="W4" s="1"/>
      <c r="X4" s="1"/>
      <c r="Y4" s="1"/>
      <c r="Z4" s="1"/>
      <c r="AA4" s="1"/>
      <c r="AB4" s="1"/>
      <c r="AC4" s="1"/>
      <c r="AD4" s="1"/>
      <c r="AE4" s="1"/>
      <c r="AF4" s="1"/>
      <c r="AG4" s="1"/>
      <c r="AH4" s="1"/>
      <c r="AI4" s="1"/>
      <c r="AJ4" s="10"/>
      <c r="AK4" s="10"/>
      <c r="AL4" s="10"/>
      <c r="AM4" s="10"/>
      <c r="AN4" s="10"/>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ht="19.5" customHeight="1">
      <c r="A5" s="167"/>
      <c r="B5" s="1"/>
      <c r="C5" s="1"/>
      <c r="D5" s="1"/>
      <c r="E5" s="1"/>
      <c r="F5" s="164"/>
      <c r="H5" s="165"/>
      <c r="I5" s="158"/>
      <c r="J5" s="7"/>
      <c r="K5" s="8"/>
      <c r="L5" s="8"/>
      <c r="M5" s="9"/>
      <c r="N5" s="158"/>
      <c r="O5" s="168" t="s">
        <v>84</v>
      </c>
      <c r="P5" s="169">
        <f>IFERROR(P1+L59+L86-L31, "Error ▲")</f>
        <v>0</v>
      </c>
      <c r="Q5" s="1"/>
      <c r="R5" s="161"/>
      <c r="S5" s="1"/>
      <c r="T5" s="154"/>
      <c r="U5" s="1"/>
      <c r="V5" s="1"/>
      <c r="W5" s="1"/>
      <c r="X5" s="1"/>
      <c r="Y5" s="1"/>
      <c r="Z5" s="1"/>
      <c r="AA5" s="1"/>
      <c r="AB5" s="1"/>
      <c r="AC5" s="1"/>
      <c r="AD5" s="1"/>
      <c r="AE5" s="1"/>
      <c r="AF5" s="1"/>
      <c r="AG5" s="1"/>
      <c r="AH5" s="1"/>
      <c r="AI5" s="1"/>
      <c r="AJ5" s="10"/>
      <c r="AK5" s="10"/>
      <c r="AL5" s="10"/>
      <c r="AM5" s="10"/>
      <c r="AN5" s="10"/>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row>
    <row r="6" ht="12.75" customHeight="1">
      <c r="A6" s="167"/>
      <c r="B6" s="1"/>
      <c r="C6" s="1"/>
      <c r="D6" s="1"/>
      <c r="E6" s="1"/>
      <c r="F6" s="170"/>
      <c r="G6" s="171"/>
      <c r="H6" s="172"/>
      <c r="I6" s="150"/>
      <c r="J6" s="150"/>
      <c r="K6" s="154"/>
      <c r="L6" s="150"/>
      <c r="M6" s="150"/>
      <c r="N6" s="150"/>
      <c r="O6" s="173"/>
      <c r="P6" s="154"/>
      <c r="Q6" s="1"/>
      <c r="R6" s="161"/>
      <c r="S6" s="1"/>
      <c r="T6" s="154"/>
      <c r="U6" s="1"/>
      <c r="V6" s="1"/>
      <c r="W6" s="1"/>
      <c r="X6" s="1"/>
      <c r="Y6" s="1"/>
      <c r="Z6" s="1"/>
      <c r="AA6" s="1"/>
      <c r="AB6" s="1"/>
      <c r="AC6" s="1"/>
      <c r="AD6" s="1"/>
      <c r="AE6" s="1"/>
      <c r="AF6" s="1"/>
      <c r="AG6" s="1"/>
      <c r="AH6" s="1"/>
      <c r="AI6" s="1"/>
      <c r="AJ6" s="10"/>
      <c r="AK6" s="10"/>
      <c r="AL6" s="10"/>
      <c r="AM6" s="10"/>
      <c r="AN6" s="10"/>
      <c r="AO6" s="1"/>
      <c r="AP6" s="1"/>
      <c r="AQ6" s="1"/>
      <c r="AR6" s="10"/>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row>
    <row r="7" ht="18.75" customHeight="1">
      <c r="A7" s="1"/>
      <c r="B7" s="128" t="s">
        <v>85</v>
      </c>
      <c r="C7" s="1"/>
      <c r="D7" s="174"/>
      <c r="E7" s="1"/>
      <c r="F7" s="1"/>
      <c r="G7" s="1"/>
      <c r="H7" s="154"/>
      <c r="I7" s="1"/>
      <c r="J7" s="1"/>
      <c r="K7" s="154"/>
      <c r="L7" s="600"/>
      <c r="M7" s="175"/>
      <c r="N7" s="175"/>
      <c r="O7" s="1"/>
      <c r="P7" s="1"/>
      <c r="Q7" s="1"/>
      <c r="R7" s="161"/>
      <c r="S7" s="1"/>
      <c r="T7" s="154"/>
      <c r="U7" s="1"/>
      <c r="V7" s="1"/>
      <c r="W7" s="1"/>
      <c r="X7" s="1"/>
      <c r="Y7" s="1"/>
      <c r="Z7" s="1"/>
      <c r="AA7" s="1"/>
      <c r="AB7" s="1"/>
      <c r="AC7" s="1"/>
      <c r="AD7" s="1"/>
      <c r="AE7" s="1"/>
      <c r="AF7" s="1"/>
      <c r="AG7" s="1"/>
      <c r="AH7" s="1"/>
      <c r="AI7" s="1"/>
      <c r="AJ7" s="10"/>
      <c r="AK7" s="10"/>
      <c r="AL7" s="10"/>
      <c r="AM7" s="10"/>
      <c r="AN7" s="10"/>
      <c r="AO7" s="1"/>
      <c r="AP7" s="1"/>
      <c r="AQ7" s="1"/>
      <c r="AR7" s="10"/>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ht="10.5" customHeight="1">
      <c r="A8" s="176"/>
      <c r="B8" s="1"/>
      <c r="C8" s="1"/>
      <c r="D8" s="1"/>
      <c r="E8" s="1"/>
      <c r="F8" s="1"/>
      <c r="G8" s="1"/>
      <c r="H8" s="1"/>
      <c r="I8" s="1"/>
      <c r="J8" s="1"/>
      <c r="K8" s="1"/>
      <c r="L8" s="1"/>
      <c r="M8" s="1"/>
      <c r="N8" s="1"/>
      <c r="O8" s="1"/>
      <c r="P8" s="1"/>
      <c r="Q8" s="1"/>
      <c r="R8" s="161"/>
      <c r="S8" s="1"/>
      <c r="T8" s="1"/>
      <c r="U8" s="1"/>
      <c r="V8" s="1"/>
      <c r="W8" s="1"/>
      <c r="X8" s="1"/>
      <c r="Y8" s="1"/>
      <c r="Z8" s="1"/>
      <c r="AA8" s="1"/>
      <c r="AB8" s="1"/>
      <c r="AC8" s="1"/>
      <c r="AD8" s="1"/>
      <c r="AE8" s="1"/>
      <c r="AF8" s="1"/>
      <c r="AG8" s="1"/>
      <c r="AH8" s="1"/>
      <c r="AI8" s="1"/>
      <c r="AJ8" s="10"/>
      <c r="AK8" s="10"/>
      <c r="AL8" s="10"/>
      <c r="AM8" s="10"/>
      <c r="AN8" s="10"/>
      <c r="AO8" s="1"/>
      <c r="AP8" s="1"/>
      <c r="AQ8" s="1"/>
      <c r="AR8" s="10"/>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ht="29.25" customHeight="1">
      <c r="A9" s="176"/>
      <c r="B9" s="177" t="s">
        <v>71</v>
      </c>
      <c r="C9" s="178" t="s">
        <v>86</v>
      </c>
      <c r="D9" s="179"/>
      <c r="E9" s="60"/>
      <c r="F9" s="180" t="s">
        <v>87</v>
      </c>
      <c r="G9" s="26"/>
      <c r="H9" s="27"/>
      <c r="I9" s="178" t="s">
        <v>276</v>
      </c>
      <c r="J9" s="179"/>
      <c r="K9" s="60"/>
      <c r="L9" s="181" t="s">
        <v>89</v>
      </c>
      <c r="M9" s="179"/>
      <c r="N9" s="60"/>
      <c r="O9" s="181" t="s">
        <v>90</v>
      </c>
      <c r="P9" s="60"/>
      <c r="Q9" s="1"/>
      <c r="R9" s="161"/>
      <c r="S9" s="1"/>
      <c r="T9" s="182" t="s">
        <v>91</v>
      </c>
      <c r="U9" s="179"/>
      <c r="V9" s="60"/>
      <c r="W9" s="601" t="s">
        <v>92</v>
      </c>
      <c r="X9" s="239"/>
      <c r="Y9" s="184"/>
      <c r="Z9" s="14"/>
      <c r="AA9" s="15"/>
      <c r="AB9" s="601" t="s">
        <v>93</v>
      </c>
      <c r="AC9" s="241"/>
      <c r="AD9" s="239"/>
      <c r="AE9" s="182" t="s">
        <v>94</v>
      </c>
      <c r="AF9" s="179"/>
      <c r="AG9" s="60"/>
      <c r="AH9" s="325" t="s">
        <v>95</v>
      </c>
      <c r="AI9" s="602" t="s">
        <v>96</v>
      </c>
      <c r="AJ9" s="603" t="s">
        <v>277</v>
      </c>
      <c r="AK9" s="10"/>
      <c r="AL9" s="10"/>
      <c r="AM9" s="10"/>
      <c r="AN9" s="1"/>
      <c r="AO9" s="1"/>
      <c r="AP9" s="1"/>
      <c r="AQ9" s="1"/>
      <c r="AR9" s="10"/>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ht="14.25" customHeight="1">
      <c r="A10" s="176"/>
      <c r="B10" s="187"/>
      <c r="C10" s="168" t="s">
        <v>97</v>
      </c>
      <c r="D10" s="604" t="s">
        <v>98</v>
      </c>
      <c r="E10" s="605"/>
      <c r="F10" s="469"/>
      <c r="G10" s="8"/>
      <c r="H10" s="526"/>
      <c r="I10" s="168" t="s">
        <v>248</v>
      </c>
      <c r="J10" s="189" t="s">
        <v>249</v>
      </c>
      <c r="K10" s="190" t="s">
        <v>250</v>
      </c>
      <c r="L10" s="168" t="s">
        <v>251</v>
      </c>
      <c r="M10" s="189" t="s">
        <v>252</v>
      </c>
      <c r="N10" s="190" t="s">
        <v>104</v>
      </c>
      <c r="O10" s="168" t="s">
        <v>105</v>
      </c>
      <c r="P10" s="190" t="s">
        <v>106</v>
      </c>
      <c r="Q10" s="1"/>
      <c r="R10" s="161"/>
      <c r="S10" s="1"/>
      <c r="T10" s="191" t="s">
        <v>107</v>
      </c>
      <c r="U10" s="47"/>
      <c r="V10" s="192" t="s">
        <v>108</v>
      </c>
      <c r="W10" s="606" t="s">
        <v>109</v>
      </c>
      <c r="X10" s="607" t="s">
        <v>108</v>
      </c>
      <c r="Y10" s="608"/>
      <c r="Z10" s="609"/>
      <c r="AA10" s="609"/>
      <c r="AB10" s="542" t="s">
        <v>93</v>
      </c>
      <c r="AC10" s="542" t="s">
        <v>93</v>
      </c>
      <c r="AD10" s="607" t="s">
        <v>110</v>
      </c>
      <c r="AE10" s="195" t="s">
        <v>111</v>
      </c>
      <c r="AF10" s="196" t="s">
        <v>112</v>
      </c>
      <c r="AG10" s="192" t="s">
        <v>113</v>
      </c>
      <c r="AH10" s="490"/>
      <c r="AI10" s="610"/>
      <c r="AJ10" s="611"/>
      <c r="AK10" s="10"/>
      <c r="AL10" s="10"/>
      <c r="AM10" s="10"/>
      <c r="AN10" s="1"/>
      <c r="AO10" s="1"/>
      <c r="AP10" s="1"/>
      <c r="AQ10" s="1"/>
      <c r="AR10" s="10" t="s">
        <v>278</v>
      </c>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ht="14.25" customHeight="1">
      <c r="A11" s="176"/>
      <c r="B11" s="492">
        <v>1.0</v>
      </c>
      <c r="C11" s="612" t="s">
        <v>279</v>
      </c>
      <c r="D11" s="222"/>
      <c r="E11" s="47"/>
      <c r="F11" s="222"/>
      <c r="G11" s="42"/>
      <c r="H11" s="47"/>
      <c r="I11" s="613"/>
      <c r="J11" s="497"/>
      <c r="K11" s="498"/>
      <c r="L11" s="614" t="str">
        <f t="shared" ref="L11:L30" si="1">IF(D11="","",IFERROR(IF(I11="","",((I11/1000)*V11*X11)*AD11*AJ11),"This intervention is not permitted within the SSM ▲"))</f>
        <v/>
      </c>
      <c r="M11" s="206" t="str">
        <f t="shared" ref="M11:M30" si="2">IF(I11="","",IF(J11+K11&gt;I11,"Length Error ▲",I11-J11-K11))</f>
        <v/>
      </c>
      <c r="N11" s="614" t="str">
        <f t="shared" ref="N11:N30" si="3">IFERROR(IF(I11="","",IF(M11="Length Error ▲","Length Error ▲",((M11/1000)*V11*X11)*AD11*AJ11)),"This intervention is not permitted within the SSM ▲")</f>
        <v/>
      </c>
      <c r="O11" s="226"/>
      <c r="P11" s="503"/>
      <c r="Q11" s="1"/>
      <c r="R11" s="161"/>
      <c r="S11" s="1"/>
      <c r="T11" s="210" t="str">
        <f>IF(D11="","",VLOOKUP(D11,'9. All Habitats + Multipliers'!$C$4:$K$102,5,FALSE))</f>
        <v/>
      </c>
      <c r="U11" s="47"/>
      <c r="V11" s="218" t="str">
        <f>IF(T11="","",VLOOKUP(T11,'11. Lists'!$B$47:$D$49,2,FALSE))</f>
        <v/>
      </c>
      <c r="W11" s="214" t="str">
        <f>IF(D11="","",VLOOKUP(D11,'10. Condition and Temporal'!$B$6:$C$103,2,FALSE))</f>
        <v/>
      </c>
      <c r="X11" s="218" t="str">
        <f>IF(W11="","",VLOOKUP(W11,'11. Lists'!$F$47:$G$51,2,FALSE))</f>
        <v/>
      </c>
      <c r="Y11" s="364"/>
      <c r="Z11" s="365"/>
      <c r="AA11" s="615"/>
      <c r="AB11" s="215" t="str">
        <f t="shared" ref="AB11:AB30" si="4">IF(F11="","",F11)</f>
        <v/>
      </c>
      <c r="AC11" s="215" t="str">
        <f>IF(AB11="","",VLOOKUP(AB11,'11. Lists'!$F$36:$H$38,2,FALSE))</f>
        <v/>
      </c>
      <c r="AD11" s="211" t="str">
        <f>IF(AB11="","",VLOOKUP(AB11,'11. Lists'!$F$36:$H$38,3,FALSE))</f>
        <v/>
      </c>
      <c r="AE11" s="216" t="str">
        <f t="shared" ref="AE11:AE30" si="5">IF(D11="","",((J11/1000)*V11*X11)*AD11*AJ11)</f>
        <v/>
      </c>
      <c r="AF11" s="217" t="str">
        <f t="shared" ref="AF11:AF30" si="6">IF(D11="","",((K11/1000)*V11*X11)*AD11*AJ11)</f>
        <v/>
      </c>
      <c r="AG11" s="616" t="str">
        <f t="shared" ref="AG11:AG30" si="7">IF(D11="","",M11)</f>
        <v/>
      </c>
      <c r="AH11" s="214" t="str">
        <f>IF(T11="","",VLOOKUP(T11,'11. Lists'!$B$47:$D$49,3,FALSE))</f>
        <v/>
      </c>
      <c r="AI11" s="381" t="str">
        <f>IF(D11="","",VLOOKUP(D11,'10. Condition and Temporal'!$B$6:$L$103,4,FALSE))</f>
        <v/>
      </c>
      <c r="AJ11" s="617" t="str">
        <f t="array" ref="AJ11:AK30">IF($D$11:$E$30="Culvert","0.68","1")</f>
        <v>1</v>
      </c>
      <c r="AK11" s="10" t="s">
        <v>280</v>
      </c>
      <c r="AL11" s="10"/>
      <c r="AM11" s="10"/>
      <c r="AN11" s="1"/>
      <c r="AO11" s="1"/>
      <c r="AP11" s="1"/>
      <c r="AQ11" s="1"/>
      <c r="AR11" s="10" t="str">
        <f t="shared" ref="AR11:AR30" si="8">IF(D11="","",IFERROR(IF(I11="","",((I11/1000)*V11*X11)*AD11),"This intervention is not permitted within the SSM ▲"))</f>
        <v/>
      </c>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ht="14.25" customHeight="1">
      <c r="A12" s="1"/>
      <c r="B12" s="221">
        <v>2.0</v>
      </c>
      <c r="C12" s="618" t="s">
        <v>279</v>
      </c>
      <c r="D12" s="222"/>
      <c r="E12" s="47"/>
      <c r="F12" s="222"/>
      <c r="G12" s="42"/>
      <c r="H12" s="47"/>
      <c r="I12" s="619"/>
      <c r="J12" s="223"/>
      <c r="K12" s="205"/>
      <c r="L12" s="620" t="str">
        <f t="shared" si="1"/>
        <v/>
      </c>
      <c r="M12" s="224" t="str">
        <f t="shared" si="2"/>
        <v/>
      </c>
      <c r="N12" s="620" t="str">
        <f t="shared" si="3"/>
        <v/>
      </c>
      <c r="O12" s="226"/>
      <c r="P12" s="227"/>
      <c r="Q12" s="1"/>
      <c r="R12" s="161"/>
      <c r="S12" s="1"/>
      <c r="T12" s="210" t="str">
        <f>IF(D12="","",VLOOKUP(D12,'9. All Habitats + Multipliers'!$C$4:$K$102,5,FALSE))</f>
        <v/>
      </c>
      <c r="U12" s="47"/>
      <c r="V12" s="218" t="str">
        <f>IF(T12="","",VLOOKUP(T12,'11. Lists'!$B$47:$D$49,2,FALSE))</f>
        <v/>
      </c>
      <c r="W12" s="214" t="str">
        <f>IF(D12="","",VLOOKUP(D12,'10. Condition and Temporal'!$B$6:$C$103,2,FALSE))</f>
        <v/>
      </c>
      <c r="X12" s="218" t="str">
        <f>IF(W12="","",VLOOKUP(W12,'11. Lists'!$F$47:$G$51,2,FALSE))</f>
        <v/>
      </c>
      <c r="Y12" s="364"/>
      <c r="Z12" s="365"/>
      <c r="AA12" s="615"/>
      <c r="AB12" s="215" t="str">
        <f t="shared" si="4"/>
        <v/>
      </c>
      <c r="AC12" s="215" t="str">
        <f>IF(AB12="","",VLOOKUP(AB12,'11. Lists'!$F$36:$H$38,2,FALSE))</f>
        <v/>
      </c>
      <c r="AD12" s="211" t="str">
        <f>IF(AB12="","",VLOOKUP(AB12,'11. Lists'!$F$36:$H$38,3,FALSE))</f>
        <v/>
      </c>
      <c r="AE12" s="216" t="str">
        <f t="shared" si="5"/>
        <v/>
      </c>
      <c r="AF12" s="217" t="str">
        <f t="shared" si="6"/>
        <v/>
      </c>
      <c r="AG12" s="616" t="str">
        <f t="shared" si="7"/>
        <v/>
      </c>
      <c r="AH12" s="214" t="str">
        <f>IF(T12="","",VLOOKUP(T12,'11. Lists'!$B$47:$D$49,3,FALSE))</f>
        <v/>
      </c>
      <c r="AI12" s="381" t="str">
        <f>IF(D12="","",VLOOKUP(D12,'10. Condition and Temporal'!$B$6:$L$103,4,FALSE))</f>
        <v/>
      </c>
      <c r="AJ12" s="617" t="s">
        <v>280</v>
      </c>
      <c r="AK12" s="10" t="s">
        <v>280</v>
      </c>
      <c r="AL12" s="10"/>
      <c r="AM12" s="10"/>
      <c r="AN12" s="1"/>
      <c r="AO12" s="1"/>
      <c r="AP12" s="1"/>
      <c r="AQ12" s="1"/>
      <c r="AR12" s="10" t="str">
        <f t="shared" si="8"/>
        <v/>
      </c>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ht="14.25" customHeight="1">
      <c r="A13" s="1"/>
      <c r="B13" s="221">
        <v>3.0</v>
      </c>
      <c r="C13" s="618" t="s">
        <v>279</v>
      </c>
      <c r="D13" s="222"/>
      <c r="E13" s="47"/>
      <c r="F13" s="222"/>
      <c r="G13" s="42"/>
      <c r="H13" s="47"/>
      <c r="I13" s="619"/>
      <c r="J13" s="223"/>
      <c r="K13" s="205"/>
      <c r="L13" s="620" t="str">
        <f t="shared" si="1"/>
        <v/>
      </c>
      <c r="M13" s="224" t="str">
        <f t="shared" si="2"/>
        <v/>
      </c>
      <c r="N13" s="620" t="str">
        <f t="shared" si="3"/>
        <v/>
      </c>
      <c r="O13" s="226"/>
      <c r="P13" s="227"/>
      <c r="Q13" s="1"/>
      <c r="R13" s="161"/>
      <c r="S13" s="1"/>
      <c r="T13" s="210" t="str">
        <f>IF(D13="","",VLOOKUP(D13,'9. All Habitats + Multipliers'!$C$4:$K$102,5,FALSE))</f>
        <v/>
      </c>
      <c r="U13" s="47"/>
      <c r="V13" s="218" t="str">
        <f>IF(T13="","",VLOOKUP(T13,'11. Lists'!$B$47:$D$49,2,FALSE))</f>
        <v/>
      </c>
      <c r="W13" s="214" t="str">
        <f>IF(D13="","",VLOOKUP(D13,'10. Condition and Temporal'!$B$6:$C$103,2,FALSE))</f>
        <v/>
      </c>
      <c r="X13" s="218" t="str">
        <f>IF(W13="","",VLOOKUP(W13,'11. Lists'!$F$47:$G$51,2,FALSE))</f>
        <v/>
      </c>
      <c r="Y13" s="364"/>
      <c r="Z13" s="365"/>
      <c r="AA13" s="615"/>
      <c r="AB13" s="215" t="str">
        <f t="shared" si="4"/>
        <v/>
      </c>
      <c r="AC13" s="215" t="str">
        <f>IF(AB13="","",VLOOKUP(AB13,'11. Lists'!$F$36:$H$38,2,FALSE))</f>
        <v/>
      </c>
      <c r="AD13" s="211" t="str">
        <f>IF(AB13="","",VLOOKUP(AB13,'11. Lists'!$F$36:$H$38,3,FALSE))</f>
        <v/>
      </c>
      <c r="AE13" s="216" t="str">
        <f t="shared" si="5"/>
        <v/>
      </c>
      <c r="AF13" s="217" t="str">
        <f t="shared" si="6"/>
        <v/>
      </c>
      <c r="AG13" s="616" t="str">
        <f t="shared" si="7"/>
        <v/>
      </c>
      <c r="AH13" s="214" t="str">
        <f>IF(T13="","",VLOOKUP(T13,'11. Lists'!$B$47:$D$49,3,FALSE))</f>
        <v/>
      </c>
      <c r="AI13" s="381" t="str">
        <f>IF(D13="","",VLOOKUP(D13,'10. Condition and Temporal'!$B$6:$L$103,4,FALSE))</f>
        <v/>
      </c>
      <c r="AJ13" s="617" t="s">
        <v>280</v>
      </c>
      <c r="AK13" s="10" t="s">
        <v>280</v>
      </c>
      <c r="AL13" s="10"/>
      <c r="AM13" s="10"/>
      <c r="AN13" s="1"/>
      <c r="AO13" s="1"/>
      <c r="AP13" s="1"/>
      <c r="AQ13" s="1"/>
      <c r="AR13" s="10" t="str">
        <f t="shared" si="8"/>
        <v/>
      </c>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ht="14.25" customHeight="1">
      <c r="A14" s="1"/>
      <c r="B14" s="221">
        <v>4.0</v>
      </c>
      <c r="C14" s="618" t="s">
        <v>279</v>
      </c>
      <c r="D14" s="222"/>
      <c r="E14" s="47"/>
      <c r="F14" s="222"/>
      <c r="G14" s="42"/>
      <c r="H14" s="47"/>
      <c r="I14" s="619"/>
      <c r="J14" s="223"/>
      <c r="K14" s="205"/>
      <c r="L14" s="620" t="str">
        <f t="shared" si="1"/>
        <v/>
      </c>
      <c r="M14" s="224" t="str">
        <f t="shared" si="2"/>
        <v/>
      </c>
      <c r="N14" s="620" t="str">
        <f t="shared" si="3"/>
        <v/>
      </c>
      <c r="O14" s="226"/>
      <c r="P14" s="227"/>
      <c r="Q14" s="1"/>
      <c r="R14" s="161"/>
      <c r="S14" s="1"/>
      <c r="T14" s="210" t="str">
        <f>IF(D14="","",VLOOKUP(D14,'9. All Habitats + Multipliers'!$C$4:$K$102,5,FALSE))</f>
        <v/>
      </c>
      <c r="U14" s="47"/>
      <c r="V14" s="218" t="str">
        <f>IF(T14="","",VLOOKUP(T14,'11. Lists'!$B$47:$D$49,2,FALSE))</f>
        <v/>
      </c>
      <c r="W14" s="214" t="str">
        <f>IF(D14="","",VLOOKUP(D14,'10. Condition and Temporal'!$B$6:$C$103,2,FALSE))</f>
        <v/>
      </c>
      <c r="X14" s="218" t="str">
        <f>IF(W14="","",VLOOKUP(W14,'11. Lists'!$F$47:$G$51,2,FALSE))</f>
        <v/>
      </c>
      <c r="Y14" s="364"/>
      <c r="Z14" s="365"/>
      <c r="AA14" s="615"/>
      <c r="AB14" s="215" t="str">
        <f t="shared" si="4"/>
        <v/>
      </c>
      <c r="AC14" s="215" t="str">
        <f>IF(AB14="","",VLOOKUP(AB14,'11. Lists'!$F$36:$H$38,2,FALSE))</f>
        <v/>
      </c>
      <c r="AD14" s="211" t="str">
        <f>IF(AB14="","",VLOOKUP(AB14,'11. Lists'!$F$36:$H$38,3,FALSE))</f>
        <v/>
      </c>
      <c r="AE14" s="216" t="str">
        <f t="shared" si="5"/>
        <v/>
      </c>
      <c r="AF14" s="217" t="str">
        <f t="shared" si="6"/>
        <v/>
      </c>
      <c r="AG14" s="616" t="str">
        <f t="shared" si="7"/>
        <v/>
      </c>
      <c r="AH14" s="214" t="str">
        <f>IF(T14="","",VLOOKUP(T14,'11. Lists'!$B$47:$D$49,3,FALSE))</f>
        <v/>
      </c>
      <c r="AI14" s="381" t="str">
        <f>IF(D14="","",VLOOKUP(D14,'10. Condition and Temporal'!$B$6:$L$103,4,FALSE))</f>
        <v/>
      </c>
      <c r="AJ14" s="617" t="s">
        <v>280</v>
      </c>
      <c r="AK14" s="10" t="s">
        <v>280</v>
      </c>
      <c r="AL14" s="10"/>
      <c r="AM14" s="10"/>
      <c r="AN14" s="1"/>
      <c r="AO14" s="1"/>
      <c r="AP14" s="1"/>
      <c r="AQ14" s="1"/>
      <c r="AR14" s="10" t="str">
        <f t="shared" si="8"/>
        <v/>
      </c>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row>
    <row r="15" ht="14.25" customHeight="1">
      <c r="A15" s="1"/>
      <c r="B15" s="221">
        <v>5.0</v>
      </c>
      <c r="C15" s="618" t="s">
        <v>279</v>
      </c>
      <c r="D15" s="222"/>
      <c r="E15" s="47"/>
      <c r="F15" s="222"/>
      <c r="G15" s="42"/>
      <c r="H15" s="47"/>
      <c r="I15" s="619"/>
      <c r="J15" s="223"/>
      <c r="K15" s="205"/>
      <c r="L15" s="620" t="str">
        <f t="shared" si="1"/>
        <v/>
      </c>
      <c r="M15" s="224" t="str">
        <f t="shared" si="2"/>
        <v/>
      </c>
      <c r="N15" s="620" t="str">
        <f t="shared" si="3"/>
        <v/>
      </c>
      <c r="O15" s="226"/>
      <c r="P15" s="227"/>
      <c r="Q15" s="1"/>
      <c r="R15" s="161"/>
      <c r="S15" s="1"/>
      <c r="T15" s="210" t="str">
        <f>IF(D15="","",VLOOKUP(D15,'9. All Habitats + Multipliers'!$C$4:$K$102,5,FALSE))</f>
        <v/>
      </c>
      <c r="U15" s="47"/>
      <c r="V15" s="218" t="str">
        <f>IF(T15="","",VLOOKUP(T15,'11. Lists'!$B$47:$D$49,2,FALSE))</f>
        <v/>
      </c>
      <c r="W15" s="214" t="str">
        <f>IF(D15="","",VLOOKUP(D15,'10. Condition and Temporal'!$B$6:$C$103,2,FALSE))</f>
        <v/>
      </c>
      <c r="X15" s="218" t="str">
        <f>IF(W15="","",VLOOKUP(W15,'11. Lists'!$F$47:$G$51,2,FALSE))</f>
        <v/>
      </c>
      <c r="Y15" s="364"/>
      <c r="Z15" s="365"/>
      <c r="AA15" s="615"/>
      <c r="AB15" s="215" t="str">
        <f t="shared" si="4"/>
        <v/>
      </c>
      <c r="AC15" s="215" t="str">
        <f>IF(AB15="","",VLOOKUP(AB15,'11. Lists'!$F$36:$H$38,2,FALSE))</f>
        <v/>
      </c>
      <c r="AD15" s="211" t="str">
        <f>IF(AB15="","",VLOOKUP(AB15,'11. Lists'!$F$36:$H$38,3,FALSE))</f>
        <v/>
      </c>
      <c r="AE15" s="216" t="str">
        <f t="shared" si="5"/>
        <v/>
      </c>
      <c r="AF15" s="217" t="str">
        <f t="shared" si="6"/>
        <v/>
      </c>
      <c r="AG15" s="616" t="str">
        <f t="shared" si="7"/>
        <v/>
      </c>
      <c r="AH15" s="214" t="str">
        <f>IF(T15="","",VLOOKUP(T15,'11. Lists'!$B$47:$D$49,3,FALSE))</f>
        <v/>
      </c>
      <c r="AI15" s="381" t="str">
        <f>IF(D15="","",VLOOKUP(D15,'10. Condition and Temporal'!$B$6:$L$103,4,FALSE))</f>
        <v/>
      </c>
      <c r="AJ15" s="617" t="s">
        <v>280</v>
      </c>
      <c r="AK15" s="10" t="s">
        <v>280</v>
      </c>
      <c r="AL15" s="10"/>
      <c r="AM15" s="10"/>
      <c r="AN15" s="1"/>
      <c r="AO15" s="1"/>
      <c r="AP15" s="1"/>
      <c r="AQ15" s="1"/>
      <c r="AR15" s="10" t="str">
        <f t="shared" si="8"/>
        <v/>
      </c>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row>
    <row r="16" ht="14.25" customHeight="1">
      <c r="A16" s="1"/>
      <c r="B16" s="221">
        <v>6.0</v>
      </c>
      <c r="C16" s="618" t="s">
        <v>279</v>
      </c>
      <c r="D16" s="222"/>
      <c r="E16" s="47"/>
      <c r="F16" s="222"/>
      <c r="G16" s="42"/>
      <c r="H16" s="47"/>
      <c r="I16" s="619"/>
      <c r="J16" s="223"/>
      <c r="K16" s="205"/>
      <c r="L16" s="620" t="str">
        <f t="shared" si="1"/>
        <v/>
      </c>
      <c r="M16" s="224" t="str">
        <f t="shared" si="2"/>
        <v/>
      </c>
      <c r="N16" s="620" t="str">
        <f t="shared" si="3"/>
        <v/>
      </c>
      <c r="O16" s="226"/>
      <c r="P16" s="227"/>
      <c r="Q16" s="1"/>
      <c r="R16" s="161"/>
      <c r="S16" s="1"/>
      <c r="T16" s="210" t="str">
        <f>IF(D16="","",VLOOKUP(D16,'9. All Habitats + Multipliers'!$C$4:$K$102,5,FALSE))</f>
        <v/>
      </c>
      <c r="U16" s="47"/>
      <c r="V16" s="218" t="str">
        <f>IF(T16="","",VLOOKUP(T16,'11. Lists'!$B$47:$D$49,2,FALSE))</f>
        <v/>
      </c>
      <c r="W16" s="214" t="str">
        <f>IF(D16="","",VLOOKUP(D16,'10. Condition and Temporal'!$B$6:$C$103,2,FALSE))</f>
        <v/>
      </c>
      <c r="X16" s="218" t="str">
        <f>IF(W16="","",VLOOKUP(W16,'11. Lists'!$F$47:$G$51,2,FALSE))</f>
        <v/>
      </c>
      <c r="Y16" s="364"/>
      <c r="Z16" s="365"/>
      <c r="AA16" s="615"/>
      <c r="AB16" s="215" t="str">
        <f t="shared" si="4"/>
        <v/>
      </c>
      <c r="AC16" s="215" t="str">
        <f>IF(AB16="","",VLOOKUP(AB16,'11. Lists'!$F$36:$H$38,2,FALSE))</f>
        <v/>
      </c>
      <c r="AD16" s="211" t="str">
        <f>IF(AB16="","",VLOOKUP(AB16,'11. Lists'!$F$36:$H$38,3,FALSE))</f>
        <v/>
      </c>
      <c r="AE16" s="216" t="str">
        <f t="shared" si="5"/>
        <v/>
      </c>
      <c r="AF16" s="217" t="str">
        <f t="shared" si="6"/>
        <v/>
      </c>
      <c r="AG16" s="616" t="str">
        <f t="shared" si="7"/>
        <v/>
      </c>
      <c r="AH16" s="214" t="str">
        <f>IF(T16="","",VLOOKUP(T16,'11. Lists'!$B$47:$D$49,3,FALSE))</f>
        <v/>
      </c>
      <c r="AI16" s="381" t="str">
        <f>IF(D16="","",VLOOKUP(D16,'10. Condition and Temporal'!$B$6:$L$103,4,FALSE))</f>
        <v/>
      </c>
      <c r="AJ16" s="617" t="s">
        <v>280</v>
      </c>
      <c r="AK16" s="10" t="s">
        <v>280</v>
      </c>
      <c r="AL16" s="10"/>
      <c r="AM16" s="10"/>
      <c r="AN16" s="1"/>
      <c r="AO16" s="1"/>
      <c r="AP16" s="1"/>
      <c r="AQ16" s="1"/>
      <c r="AR16" s="10" t="str">
        <f t="shared" si="8"/>
        <v/>
      </c>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row>
    <row r="17" ht="14.25" customHeight="1">
      <c r="A17" s="1"/>
      <c r="B17" s="221">
        <v>7.0</v>
      </c>
      <c r="C17" s="618" t="s">
        <v>279</v>
      </c>
      <c r="D17" s="222"/>
      <c r="E17" s="47"/>
      <c r="F17" s="222"/>
      <c r="G17" s="42"/>
      <c r="H17" s="47"/>
      <c r="I17" s="619"/>
      <c r="J17" s="223"/>
      <c r="K17" s="205"/>
      <c r="L17" s="620" t="str">
        <f t="shared" si="1"/>
        <v/>
      </c>
      <c r="M17" s="224" t="str">
        <f t="shared" si="2"/>
        <v/>
      </c>
      <c r="N17" s="620" t="str">
        <f t="shared" si="3"/>
        <v/>
      </c>
      <c r="O17" s="226"/>
      <c r="P17" s="227"/>
      <c r="Q17" s="1"/>
      <c r="R17" s="161"/>
      <c r="S17" s="1"/>
      <c r="T17" s="210" t="str">
        <f>IF(D17="","",VLOOKUP(D17,'9. All Habitats + Multipliers'!$C$4:$K$102,5,FALSE))</f>
        <v/>
      </c>
      <c r="U17" s="47"/>
      <c r="V17" s="218" t="str">
        <f>IF(T17="","",VLOOKUP(T17,'11. Lists'!$B$47:$D$49,2,FALSE))</f>
        <v/>
      </c>
      <c r="W17" s="214" t="str">
        <f>IF(D17="","",VLOOKUP(D17,'10. Condition and Temporal'!$B$6:$C$103,2,FALSE))</f>
        <v/>
      </c>
      <c r="X17" s="218" t="str">
        <f>IF(W17="","",VLOOKUP(W17,'11. Lists'!$F$47:$G$51,2,FALSE))</f>
        <v/>
      </c>
      <c r="Y17" s="364"/>
      <c r="Z17" s="365"/>
      <c r="AA17" s="615"/>
      <c r="AB17" s="215" t="str">
        <f t="shared" si="4"/>
        <v/>
      </c>
      <c r="AC17" s="215" t="str">
        <f>IF(AB17="","",VLOOKUP(AB17,'11. Lists'!$F$36:$H$38,2,FALSE))</f>
        <v/>
      </c>
      <c r="AD17" s="211" t="str">
        <f>IF(AB17="","",VLOOKUP(AB17,'11. Lists'!$F$36:$H$38,3,FALSE))</f>
        <v/>
      </c>
      <c r="AE17" s="216" t="str">
        <f t="shared" si="5"/>
        <v/>
      </c>
      <c r="AF17" s="217" t="str">
        <f t="shared" si="6"/>
        <v/>
      </c>
      <c r="AG17" s="616" t="str">
        <f t="shared" si="7"/>
        <v/>
      </c>
      <c r="AH17" s="214" t="str">
        <f>IF(T17="","",VLOOKUP(T17,'11. Lists'!$B$47:$D$49,3,FALSE))</f>
        <v/>
      </c>
      <c r="AI17" s="381" t="str">
        <f>IF(D17="","",VLOOKUP(D17,'10. Condition and Temporal'!$B$6:$L$103,4,FALSE))</f>
        <v/>
      </c>
      <c r="AJ17" s="617" t="s">
        <v>280</v>
      </c>
      <c r="AK17" s="10" t="s">
        <v>280</v>
      </c>
      <c r="AL17" s="10"/>
      <c r="AM17" s="10"/>
      <c r="AN17" s="1"/>
      <c r="AO17" s="1"/>
      <c r="AP17" s="1"/>
      <c r="AQ17" s="1"/>
      <c r="AR17" s="10" t="str">
        <f t="shared" si="8"/>
        <v/>
      </c>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row>
    <row r="18" ht="14.25" customHeight="1">
      <c r="A18" s="1"/>
      <c r="B18" s="221">
        <v>8.0</v>
      </c>
      <c r="C18" s="618" t="s">
        <v>279</v>
      </c>
      <c r="D18" s="222"/>
      <c r="E18" s="47"/>
      <c r="F18" s="222"/>
      <c r="G18" s="42"/>
      <c r="H18" s="47"/>
      <c r="I18" s="619"/>
      <c r="J18" s="223"/>
      <c r="K18" s="205"/>
      <c r="L18" s="620" t="str">
        <f t="shared" si="1"/>
        <v/>
      </c>
      <c r="M18" s="224" t="str">
        <f t="shared" si="2"/>
        <v/>
      </c>
      <c r="N18" s="620" t="str">
        <f t="shared" si="3"/>
        <v/>
      </c>
      <c r="O18" s="226"/>
      <c r="P18" s="227"/>
      <c r="Q18" s="1"/>
      <c r="R18" s="161"/>
      <c r="S18" s="1"/>
      <c r="T18" s="210" t="str">
        <f>IF(D18="","",VLOOKUP(D18,'9. All Habitats + Multipliers'!$C$4:$K$102,5,FALSE))</f>
        <v/>
      </c>
      <c r="U18" s="47"/>
      <c r="V18" s="218" t="str">
        <f>IF(T18="","",VLOOKUP(T18,'11. Lists'!$B$47:$D$49,2,FALSE))</f>
        <v/>
      </c>
      <c r="W18" s="214" t="str">
        <f>IF(D18="","",VLOOKUP(D18,'10. Condition and Temporal'!$B$6:$C$103,2,FALSE))</f>
        <v/>
      </c>
      <c r="X18" s="218" t="str">
        <f>IF(W18="","",VLOOKUP(W18,'11. Lists'!$F$47:$G$51,2,FALSE))</f>
        <v/>
      </c>
      <c r="Y18" s="364"/>
      <c r="Z18" s="365"/>
      <c r="AA18" s="615"/>
      <c r="AB18" s="215" t="str">
        <f t="shared" si="4"/>
        <v/>
      </c>
      <c r="AC18" s="215" t="str">
        <f>IF(AB18="","",VLOOKUP(AB18,'11. Lists'!$F$36:$H$38,2,FALSE))</f>
        <v/>
      </c>
      <c r="AD18" s="211" t="str">
        <f>IF(AB18="","",VLOOKUP(AB18,'11. Lists'!$F$36:$H$38,3,FALSE))</f>
        <v/>
      </c>
      <c r="AE18" s="216" t="str">
        <f t="shared" si="5"/>
        <v/>
      </c>
      <c r="AF18" s="217" t="str">
        <f t="shared" si="6"/>
        <v/>
      </c>
      <c r="AG18" s="616" t="str">
        <f t="shared" si="7"/>
        <v/>
      </c>
      <c r="AH18" s="214" t="str">
        <f>IF(T18="","",VLOOKUP(T18,'11. Lists'!$B$47:$D$49,3,FALSE))</f>
        <v/>
      </c>
      <c r="AI18" s="381" t="str">
        <f>IF(D18="","",VLOOKUP(D18,'10. Condition and Temporal'!$B$6:$L$103,4,FALSE))</f>
        <v/>
      </c>
      <c r="AJ18" s="617" t="s">
        <v>280</v>
      </c>
      <c r="AK18" s="10" t="s">
        <v>280</v>
      </c>
      <c r="AL18" s="10"/>
      <c r="AM18" s="10"/>
      <c r="AN18" s="1"/>
      <c r="AO18" s="1"/>
      <c r="AP18" s="1"/>
      <c r="AQ18" s="1"/>
      <c r="AR18" s="10" t="str">
        <f t="shared" si="8"/>
        <v/>
      </c>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row>
    <row r="19" ht="14.25" customHeight="1">
      <c r="A19" s="1"/>
      <c r="B19" s="221">
        <v>9.0</v>
      </c>
      <c r="C19" s="618" t="s">
        <v>279</v>
      </c>
      <c r="D19" s="222"/>
      <c r="E19" s="47"/>
      <c r="F19" s="222"/>
      <c r="G19" s="42"/>
      <c r="H19" s="47"/>
      <c r="I19" s="619"/>
      <c r="J19" s="223"/>
      <c r="K19" s="205"/>
      <c r="L19" s="620" t="str">
        <f t="shared" si="1"/>
        <v/>
      </c>
      <c r="M19" s="224" t="str">
        <f t="shared" si="2"/>
        <v/>
      </c>
      <c r="N19" s="620" t="str">
        <f t="shared" si="3"/>
        <v/>
      </c>
      <c r="O19" s="226"/>
      <c r="P19" s="227"/>
      <c r="Q19" s="1"/>
      <c r="R19" s="161"/>
      <c r="S19" s="1"/>
      <c r="T19" s="210" t="str">
        <f>IF(D19="","",VLOOKUP(D19,'9. All Habitats + Multipliers'!$C$4:$K$102,5,FALSE))</f>
        <v/>
      </c>
      <c r="U19" s="47"/>
      <c r="V19" s="218" t="str">
        <f>IF(T19="","",VLOOKUP(T19,'11. Lists'!$B$47:$D$49,2,FALSE))</f>
        <v/>
      </c>
      <c r="W19" s="214" t="str">
        <f>IF(D19="","",VLOOKUP(D19,'10. Condition and Temporal'!$B$6:$C$103,2,FALSE))</f>
        <v/>
      </c>
      <c r="X19" s="218" t="str">
        <f>IF(W19="","",VLOOKUP(W19,'11. Lists'!$F$47:$G$51,2,FALSE))</f>
        <v/>
      </c>
      <c r="Y19" s="364"/>
      <c r="Z19" s="365"/>
      <c r="AA19" s="615"/>
      <c r="AB19" s="215" t="str">
        <f t="shared" si="4"/>
        <v/>
      </c>
      <c r="AC19" s="215" t="str">
        <f>IF(AB19="","",VLOOKUP(AB19,'11. Lists'!$F$36:$H$38,2,FALSE))</f>
        <v/>
      </c>
      <c r="AD19" s="211" t="str">
        <f>IF(AB19="","",VLOOKUP(AB19,'11. Lists'!$F$36:$H$38,3,FALSE))</f>
        <v/>
      </c>
      <c r="AE19" s="216" t="str">
        <f t="shared" si="5"/>
        <v/>
      </c>
      <c r="AF19" s="217" t="str">
        <f t="shared" si="6"/>
        <v/>
      </c>
      <c r="AG19" s="616" t="str">
        <f t="shared" si="7"/>
        <v/>
      </c>
      <c r="AH19" s="214" t="str">
        <f>IF(T19="","",VLOOKUP(T19,'11. Lists'!$B$47:$D$49,3,FALSE))</f>
        <v/>
      </c>
      <c r="AI19" s="381" t="str">
        <f>IF(D19="","",VLOOKUP(D19,'10. Condition and Temporal'!$B$6:$L$103,4,FALSE))</f>
        <v/>
      </c>
      <c r="AJ19" s="617" t="s">
        <v>280</v>
      </c>
      <c r="AK19" s="10" t="s">
        <v>280</v>
      </c>
      <c r="AL19" s="10"/>
      <c r="AM19" s="10"/>
      <c r="AN19" s="1"/>
      <c r="AO19" s="1"/>
      <c r="AP19" s="1"/>
      <c r="AQ19" s="1"/>
      <c r="AR19" s="10" t="str">
        <f t="shared" si="8"/>
        <v/>
      </c>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ht="14.25" customHeight="1">
      <c r="A20" s="1"/>
      <c r="B20" s="221">
        <v>10.0</v>
      </c>
      <c r="C20" s="618" t="s">
        <v>279</v>
      </c>
      <c r="D20" s="222"/>
      <c r="E20" s="47"/>
      <c r="F20" s="222"/>
      <c r="G20" s="42"/>
      <c r="H20" s="47"/>
      <c r="I20" s="619"/>
      <c r="J20" s="223"/>
      <c r="K20" s="205"/>
      <c r="L20" s="620" t="str">
        <f t="shared" si="1"/>
        <v/>
      </c>
      <c r="M20" s="224" t="str">
        <f t="shared" si="2"/>
        <v/>
      </c>
      <c r="N20" s="620" t="str">
        <f t="shared" si="3"/>
        <v/>
      </c>
      <c r="O20" s="226"/>
      <c r="P20" s="229"/>
      <c r="Q20" s="1"/>
      <c r="R20" s="161"/>
      <c r="S20" s="1"/>
      <c r="T20" s="210" t="str">
        <f>IF(D20="","",VLOOKUP(D20,'9. All Habitats + Multipliers'!$C$4:$K$102,5,FALSE))</f>
        <v/>
      </c>
      <c r="U20" s="47"/>
      <c r="V20" s="218" t="str">
        <f>IF(T20="","",VLOOKUP(T20,'11. Lists'!$B$47:$D$49,2,FALSE))</f>
        <v/>
      </c>
      <c r="W20" s="214" t="str">
        <f>IF(D20="","",VLOOKUP(D20,'10. Condition and Temporal'!$B$6:$C$103,2,FALSE))</f>
        <v/>
      </c>
      <c r="X20" s="218" t="str">
        <f>IF(W20="","",VLOOKUP(W20,'11. Lists'!$F$47:$G$51,2,FALSE))</f>
        <v/>
      </c>
      <c r="Y20" s="364"/>
      <c r="Z20" s="365"/>
      <c r="AA20" s="615"/>
      <c r="AB20" s="215" t="str">
        <f t="shared" si="4"/>
        <v/>
      </c>
      <c r="AC20" s="215" t="str">
        <f>IF(AB20="","",VLOOKUP(AB20,'11. Lists'!$F$36:$H$38,2,FALSE))</f>
        <v/>
      </c>
      <c r="AD20" s="211" t="str">
        <f>IF(AB20="","",VLOOKUP(AB20,'11. Lists'!$F$36:$H$38,3,FALSE))</f>
        <v/>
      </c>
      <c r="AE20" s="216" t="str">
        <f t="shared" si="5"/>
        <v/>
      </c>
      <c r="AF20" s="217" t="str">
        <f t="shared" si="6"/>
        <v/>
      </c>
      <c r="AG20" s="616" t="str">
        <f t="shared" si="7"/>
        <v/>
      </c>
      <c r="AH20" s="214" t="str">
        <f>IF(T20="","",VLOOKUP(T20,'11. Lists'!$B$47:$D$49,3,FALSE))</f>
        <v/>
      </c>
      <c r="AI20" s="381" t="str">
        <f>IF(D20="","",VLOOKUP(D20,'10. Condition and Temporal'!$B$6:$L$103,4,FALSE))</f>
        <v/>
      </c>
      <c r="AJ20" s="617" t="s">
        <v>280</v>
      </c>
      <c r="AK20" s="10" t="s">
        <v>280</v>
      </c>
      <c r="AL20" s="10"/>
      <c r="AM20" s="10"/>
      <c r="AN20" s="1"/>
      <c r="AO20" s="1"/>
      <c r="AP20" s="1"/>
      <c r="AQ20" s="1"/>
      <c r="AR20" s="10" t="str">
        <f t="shared" si="8"/>
        <v/>
      </c>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row>
    <row r="21" ht="14.25" customHeight="1">
      <c r="A21" s="1"/>
      <c r="B21" s="221">
        <v>11.0</v>
      </c>
      <c r="C21" s="618" t="s">
        <v>279</v>
      </c>
      <c r="D21" s="222"/>
      <c r="E21" s="47"/>
      <c r="F21" s="222"/>
      <c r="G21" s="42"/>
      <c r="H21" s="47"/>
      <c r="I21" s="619"/>
      <c r="J21" s="223"/>
      <c r="K21" s="205"/>
      <c r="L21" s="620" t="str">
        <f t="shared" si="1"/>
        <v/>
      </c>
      <c r="M21" s="224" t="str">
        <f t="shared" si="2"/>
        <v/>
      </c>
      <c r="N21" s="620" t="str">
        <f t="shared" si="3"/>
        <v/>
      </c>
      <c r="O21" s="226"/>
      <c r="P21" s="229"/>
      <c r="Q21" s="1"/>
      <c r="R21" s="161"/>
      <c r="S21" s="1"/>
      <c r="T21" s="210" t="str">
        <f>IF(D21="","",VLOOKUP(D21,'9. All Habitats + Multipliers'!$C$4:$K$102,5,FALSE))</f>
        <v/>
      </c>
      <c r="U21" s="47"/>
      <c r="V21" s="218" t="str">
        <f>IF(T21="","",VLOOKUP(T21,'11. Lists'!$B$47:$D$49,2,FALSE))</f>
        <v/>
      </c>
      <c r="W21" s="214" t="str">
        <f>IF(D21="","",VLOOKUP(D21,'10. Condition and Temporal'!$B$6:$C$103,2,FALSE))</f>
        <v/>
      </c>
      <c r="X21" s="218" t="str">
        <f>IF(W21="","",VLOOKUP(W21,'11. Lists'!$F$47:$G$51,2,FALSE))</f>
        <v/>
      </c>
      <c r="Y21" s="364"/>
      <c r="Z21" s="365"/>
      <c r="AA21" s="615"/>
      <c r="AB21" s="215" t="str">
        <f t="shared" si="4"/>
        <v/>
      </c>
      <c r="AC21" s="215" t="str">
        <f>IF(AB21="","",VLOOKUP(AB21,'11. Lists'!$F$36:$H$38,2,FALSE))</f>
        <v/>
      </c>
      <c r="AD21" s="211" t="str">
        <f>IF(AB21="","",VLOOKUP(AB21,'11. Lists'!$F$36:$H$38,3,FALSE))</f>
        <v/>
      </c>
      <c r="AE21" s="216" t="str">
        <f t="shared" si="5"/>
        <v/>
      </c>
      <c r="AF21" s="217" t="str">
        <f t="shared" si="6"/>
        <v/>
      </c>
      <c r="AG21" s="616" t="str">
        <f t="shared" si="7"/>
        <v/>
      </c>
      <c r="AH21" s="214" t="str">
        <f>IF(T21="","",VLOOKUP(T21,'11. Lists'!$B$47:$D$49,3,FALSE))</f>
        <v/>
      </c>
      <c r="AI21" s="381" t="str">
        <f>IF(D21="","",VLOOKUP(D21,'10. Condition and Temporal'!$B$6:$L$103,4,FALSE))</f>
        <v/>
      </c>
      <c r="AJ21" s="617" t="s">
        <v>280</v>
      </c>
      <c r="AK21" s="10" t="s">
        <v>280</v>
      </c>
      <c r="AL21" s="10"/>
      <c r="AM21" s="10"/>
      <c r="AN21" s="1"/>
      <c r="AO21" s="1"/>
      <c r="AP21" s="1"/>
      <c r="AQ21" s="1"/>
      <c r="AR21" s="10" t="str">
        <f t="shared" si="8"/>
        <v/>
      </c>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row>
    <row r="22" ht="14.25" customHeight="1">
      <c r="A22" s="1"/>
      <c r="B22" s="221">
        <v>12.0</v>
      </c>
      <c r="C22" s="618" t="s">
        <v>279</v>
      </c>
      <c r="D22" s="222"/>
      <c r="E22" s="47"/>
      <c r="F22" s="222"/>
      <c r="G22" s="42"/>
      <c r="H22" s="47"/>
      <c r="I22" s="619"/>
      <c r="J22" s="223"/>
      <c r="K22" s="205"/>
      <c r="L22" s="620" t="str">
        <f t="shared" si="1"/>
        <v/>
      </c>
      <c r="M22" s="224" t="str">
        <f t="shared" si="2"/>
        <v/>
      </c>
      <c r="N22" s="620" t="str">
        <f t="shared" si="3"/>
        <v/>
      </c>
      <c r="O22" s="226"/>
      <c r="P22" s="229"/>
      <c r="Q22" s="1"/>
      <c r="R22" s="161"/>
      <c r="S22" s="1"/>
      <c r="T22" s="210" t="str">
        <f>IF(D22="","",VLOOKUP(D22,'9. All Habitats + Multipliers'!$C$4:$K$102,5,FALSE))</f>
        <v/>
      </c>
      <c r="U22" s="47"/>
      <c r="V22" s="218" t="str">
        <f>IF(T22="","",VLOOKUP(T22,'11. Lists'!$B$47:$D$49,2,FALSE))</f>
        <v/>
      </c>
      <c r="W22" s="214" t="str">
        <f>IF(D22="","",VLOOKUP(D22,'10. Condition and Temporal'!$B$6:$C$103,2,FALSE))</f>
        <v/>
      </c>
      <c r="X22" s="218" t="str">
        <f>IF(W22="","",VLOOKUP(W22,'11. Lists'!$F$47:$G$51,2,FALSE))</f>
        <v/>
      </c>
      <c r="Y22" s="364"/>
      <c r="Z22" s="365"/>
      <c r="AA22" s="615"/>
      <c r="AB22" s="215" t="str">
        <f t="shared" si="4"/>
        <v/>
      </c>
      <c r="AC22" s="215" t="str">
        <f>IF(AB22="","",VLOOKUP(AB22,'11. Lists'!$F$36:$H$38,2,FALSE))</f>
        <v/>
      </c>
      <c r="AD22" s="211" t="str">
        <f>IF(AB22="","",VLOOKUP(AB22,'11. Lists'!$F$36:$H$38,3,FALSE))</f>
        <v/>
      </c>
      <c r="AE22" s="216" t="str">
        <f t="shared" si="5"/>
        <v/>
      </c>
      <c r="AF22" s="217" t="str">
        <f t="shared" si="6"/>
        <v/>
      </c>
      <c r="AG22" s="616" t="str">
        <f t="shared" si="7"/>
        <v/>
      </c>
      <c r="AH22" s="214" t="str">
        <f>IF(T22="","",VLOOKUP(T22,'11. Lists'!$B$47:$D$49,3,FALSE))</f>
        <v/>
      </c>
      <c r="AI22" s="381" t="str">
        <f>IF(D22="","",VLOOKUP(D22,'10. Condition and Temporal'!$B$6:$L$103,4,FALSE))</f>
        <v/>
      </c>
      <c r="AJ22" s="617" t="s">
        <v>280</v>
      </c>
      <c r="AK22" s="10" t="s">
        <v>280</v>
      </c>
      <c r="AL22" s="10"/>
      <c r="AM22" s="10"/>
      <c r="AN22" s="1"/>
      <c r="AO22" s="1"/>
      <c r="AP22" s="1"/>
      <c r="AQ22" s="1"/>
      <c r="AR22" s="10" t="str">
        <f t="shared" si="8"/>
        <v/>
      </c>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ht="14.25" customHeight="1">
      <c r="A23" s="1"/>
      <c r="B23" s="221">
        <v>13.0</v>
      </c>
      <c r="C23" s="618" t="s">
        <v>279</v>
      </c>
      <c r="D23" s="222"/>
      <c r="E23" s="47"/>
      <c r="F23" s="222"/>
      <c r="G23" s="42"/>
      <c r="H23" s="47"/>
      <c r="I23" s="619"/>
      <c r="J23" s="223"/>
      <c r="K23" s="205"/>
      <c r="L23" s="620" t="str">
        <f t="shared" si="1"/>
        <v/>
      </c>
      <c r="M23" s="224" t="str">
        <f t="shared" si="2"/>
        <v/>
      </c>
      <c r="N23" s="620" t="str">
        <f t="shared" si="3"/>
        <v/>
      </c>
      <c r="O23" s="226"/>
      <c r="P23" s="229"/>
      <c r="Q23" s="1"/>
      <c r="R23" s="161"/>
      <c r="S23" s="1"/>
      <c r="T23" s="210" t="str">
        <f>IF(D23="","",VLOOKUP(D23,'9. All Habitats + Multipliers'!$C$4:$K$102,5,FALSE))</f>
        <v/>
      </c>
      <c r="U23" s="47"/>
      <c r="V23" s="218" t="str">
        <f>IF(T23="","",VLOOKUP(T23,'11. Lists'!$B$47:$D$49,2,FALSE))</f>
        <v/>
      </c>
      <c r="W23" s="214" t="str">
        <f>IF(D23="","",VLOOKUP(D23,'10. Condition and Temporal'!$B$6:$C$103,2,FALSE))</f>
        <v/>
      </c>
      <c r="X23" s="218" t="str">
        <f>IF(W23="","",VLOOKUP(W23,'11. Lists'!$F$47:$G$51,2,FALSE))</f>
        <v/>
      </c>
      <c r="Y23" s="364"/>
      <c r="Z23" s="365"/>
      <c r="AA23" s="615"/>
      <c r="AB23" s="215" t="str">
        <f t="shared" si="4"/>
        <v/>
      </c>
      <c r="AC23" s="215" t="str">
        <f>IF(AB23="","",VLOOKUP(AB23,'11. Lists'!$F$36:$H$38,2,FALSE))</f>
        <v/>
      </c>
      <c r="AD23" s="211" t="str">
        <f>IF(AB23="","",VLOOKUP(AB23,'11. Lists'!$F$36:$H$38,3,FALSE))</f>
        <v/>
      </c>
      <c r="AE23" s="216" t="str">
        <f t="shared" si="5"/>
        <v/>
      </c>
      <c r="AF23" s="217" t="str">
        <f t="shared" si="6"/>
        <v/>
      </c>
      <c r="AG23" s="616" t="str">
        <f t="shared" si="7"/>
        <v/>
      </c>
      <c r="AH23" s="214" t="str">
        <f>IF(T23="","",VLOOKUP(T23,'11. Lists'!$B$47:$D$49,3,FALSE))</f>
        <v/>
      </c>
      <c r="AI23" s="381" t="str">
        <f>IF(D23="","",VLOOKUP(D23,'10. Condition and Temporal'!$B$6:$L$103,4,FALSE))</f>
        <v/>
      </c>
      <c r="AJ23" s="617" t="s">
        <v>280</v>
      </c>
      <c r="AK23" s="10" t="s">
        <v>280</v>
      </c>
      <c r="AL23" s="10"/>
      <c r="AM23" s="10"/>
      <c r="AN23" s="1"/>
      <c r="AO23" s="1"/>
      <c r="AP23" s="1"/>
      <c r="AQ23" s="1"/>
      <c r="AR23" s="10" t="str">
        <f t="shared" si="8"/>
        <v/>
      </c>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ht="14.25" customHeight="1">
      <c r="A24" s="1"/>
      <c r="B24" s="221">
        <v>14.0</v>
      </c>
      <c r="C24" s="618" t="s">
        <v>279</v>
      </c>
      <c r="D24" s="222"/>
      <c r="E24" s="47"/>
      <c r="F24" s="222"/>
      <c r="G24" s="42"/>
      <c r="H24" s="47"/>
      <c r="I24" s="619"/>
      <c r="J24" s="223"/>
      <c r="K24" s="205"/>
      <c r="L24" s="620" t="str">
        <f t="shared" si="1"/>
        <v/>
      </c>
      <c r="M24" s="224" t="str">
        <f t="shared" si="2"/>
        <v/>
      </c>
      <c r="N24" s="620" t="str">
        <f t="shared" si="3"/>
        <v/>
      </c>
      <c r="O24" s="226"/>
      <c r="P24" s="229"/>
      <c r="Q24" s="1"/>
      <c r="R24" s="161"/>
      <c r="S24" s="1"/>
      <c r="T24" s="210" t="str">
        <f>IF(D24="","",VLOOKUP(D24,'9. All Habitats + Multipliers'!$C$4:$K$102,5,FALSE))</f>
        <v/>
      </c>
      <c r="U24" s="47"/>
      <c r="V24" s="218" t="str">
        <f>IF(T24="","",VLOOKUP(T24,'11. Lists'!$B$47:$D$49,2,FALSE))</f>
        <v/>
      </c>
      <c r="W24" s="214" t="str">
        <f>IF(D24="","",VLOOKUP(D24,'10. Condition and Temporal'!$B$6:$C$103,2,FALSE))</f>
        <v/>
      </c>
      <c r="X24" s="218" t="str">
        <f>IF(W24="","",VLOOKUP(W24,'11. Lists'!$F$47:$G$51,2,FALSE))</f>
        <v/>
      </c>
      <c r="Y24" s="364"/>
      <c r="Z24" s="365"/>
      <c r="AA24" s="615"/>
      <c r="AB24" s="215" t="str">
        <f t="shared" si="4"/>
        <v/>
      </c>
      <c r="AC24" s="215" t="str">
        <f>IF(AB24="","",VLOOKUP(AB24,'11. Lists'!$F$36:$H$38,2,FALSE))</f>
        <v/>
      </c>
      <c r="AD24" s="211" t="str">
        <f>IF(AB24="","",VLOOKUP(AB24,'11. Lists'!$F$36:$H$38,3,FALSE))</f>
        <v/>
      </c>
      <c r="AE24" s="216" t="str">
        <f t="shared" si="5"/>
        <v/>
      </c>
      <c r="AF24" s="217" t="str">
        <f t="shared" si="6"/>
        <v/>
      </c>
      <c r="AG24" s="616" t="str">
        <f t="shared" si="7"/>
        <v/>
      </c>
      <c r="AH24" s="214" t="str">
        <f>IF(T24="","",VLOOKUP(T24,'11. Lists'!$B$47:$D$49,3,FALSE))</f>
        <v/>
      </c>
      <c r="AI24" s="381" t="str">
        <f>IF(D24="","",VLOOKUP(D24,'10. Condition and Temporal'!$B$6:$L$103,4,FALSE))</f>
        <v/>
      </c>
      <c r="AJ24" s="617" t="s">
        <v>280</v>
      </c>
      <c r="AK24" s="10" t="s">
        <v>280</v>
      </c>
      <c r="AL24" s="10"/>
      <c r="AM24" s="10"/>
      <c r="AN24" s="1"/>
      <c r="AO24" s="1"/>
      <c r="AP24" s="1"/>
      <c r="AQ24" s="1"/>
      <c r="AR24" s="10" t="str">
        <f t="shared" si="8"/>
        <v/>
      </c>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ht="14.25" customHeight="1">
      <c r="A25" s="1"/>
      <c r="B25" s="221">
        <v>15.0</v>
      </c>
      <c r="C25" s="618" t="s">
        <v>279</v>
      </c>
      <c r="D25" s="222"/>
      <c r="E25" s="47"/>
      <c r="F25" s="222"/>
      <c r="G25" s="42"/>
      <c r="H25" s="47"/>
      <c r="I25" s="619"/>
      <c r="J25" s="223"/>
      <c r="K25" s="205"/>
      <c r="L25" s="620" t="str">
        <f t="shared" si="1"/>
        <v/>
      </c>
      <c r="M25" s="224" t="str">
        <f t="shared" si="2"/>
        <v/>
      </c>
      <c r="N25" s="620" t="str">
        <f t="shared" si="3"/>
        <v/>
      </c>
      <c r="O25" s="226"/>
      <c r="P25" s="229"/>
      <c r="Q25" s="1"/>
      <c r="R25" s="161"/>
      <c r="S25" s="1"/>
      <c r="T25" s="210" t="str">
        <f>IF(D25="","",VLOOKUP(D25,'9. All Habitats + Multipliers'!$C$4:$K$102,5,FALSE))</f>
        <v/>
      </c>
      <c r="U25" s="47"/>
      <c r="V25" s="218" t="str">
        <f>IF(T25="","",VLOOKUP(T25,'11. Lists'!$B$47:$D$49,2,FALSE))</f>
        <v/>
      </c>
      <c r="W25" s="214" t="str">
        <f>IF(D25="","",VLOOKUP(D25,'10. Condition and Temporal'!$B$6:$C$103,2,FALSE))</f>
        <v/>
      </c>
      <c r="X25" s="218" t="str">
        <f>IF(W25="","",VLOOKUP(W25,'11. Lists'!$F$47:$G$51,2,FALSE))</f>
        <v/>
      </c>
      <c r="Y25" s="364"/>
      <c r="Z25" s="365"/>
      <c r="AA25" s="615"/>
      <c r="AB25" s="215" t="str">
        <f t="shared" si="4"/>
        <v/>
      </c>
      <c r="AC25" s="215" t="str">
        <f>IF(AB25="","",VLOOKUP(AB25,'11. Lists'!$F$36:$H$38,2,FALSE))</f>
        <v/>
      </c>
      <c r="AD25" s="211" t="str">
        <f>IF(AB25="","",VLOOKUP(AB25,'11. Lists'!$F$36:$H$38,3,FALSE))</f>
        <v/>
      </c>
      <c r="AE25" s="216" t="str">
        <f t="shared" si="5"/>
        <v/>
      </c>
      <c r="AF25" s="217" t="str">
        <f t="shared" si="6"/>
        <v/>
      </c>
      <c r="AG25" s="616" t="str">
        <f t="shared" si="7"/>
        <v/>
      </c>
      <c r="AH25" s="214" t="str">
        <f>IF(T25="","",VLOOKUP(T25,'11. Lists'!$B$47:$D$49,3,FALSE))</f>
        <v/>
      </c>
      <c r="AI25" s="381" t="str">
        <f>IF(D25="","",VLOOKUP(D25,'10. Condition and Temporal'!$B$6:$L$103,4,FALSE))</f>
        <v/>
      </c>
      <c r="AJ25" s="617" t="s">
        <v>280</v>
      </c>
      <c r="AK25" s="10" t="s">
        <v>280</v>
      </c>
      <c r="AL25" s="10"/>
      <c r="AM25" s="10"/>
      <c r="AN25" s="1"/>
      <c r="AO25" s="1"/>
      <c r="AP25" s="1"/>
      <c r="AQ25" s="1"/>
      <c r="AR25" s="10" t="str">
        <f t="shared" si="8"/>
        <v/>
      </c>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ht="14.25" customHeight="1">
      <c r="A26" s="1"/>
      <c r="B26" s="221">
        <v>16.0</v>
      </c>
      <c r="C26" s="618" t="s">
        <v>279</v>
      </c>
      <c r="D26" s="222"/>
      <c r="E26" s="47"/>
      <c r="F26" s="222"/>
      <c r="G26" s="42"/>
      <c r="H26" s="47"/>
      <c r="I26" s="619"/>
      <c r="J26" s="223"/>
      <c r="K26" s="205"/>
      <c r="L26" s="620" t="str">
        <f t="shared" si="1"/>
        <v/>
      </c>
      <c r="M26" s="224" t="str">
        <f t="shared" si="2"/>
        <v/>
      </c>
      <c r="N26" s="620" t="str">
        <f t="shared" si="3"/>
        <v/>
      </c>
      <c r="O26" s="226"/>
      <c r="P26" s="229"/>
      <c r="Q26" s="1"/>
      <c r="R26" s="161"/>
      <c r="S26" s="1"/>
      <c r="T26" s="210" t="str">
        <f>IF(D26="","",VLOOKUP(D26,'9. All Habitats + Multipliers'!$C$4:$K$102,5,FALSE))</f>
        <v/>
      </c>
      <c r="U26" s="47"/>
      <c r="V26" s="218" t="str">
        <f>IF(T26="","",VLOOKUP(T26,'11. Lists'!$B$47:$D$49,2,FALSE))</f>
        <v/>
      </c>
      <c r="W26" s="214" t="str">
        <f>IF(D26="","",VLOOKUP(D26,'10. Condition and Temporal'!$B$6:$C$103,2,FALSE))</f>
        <v/>
      </c>
      <c r="X26" s="218" t="str">
        <f>IF(W26="","",VLOOKUP(W26,'11. Lists'!$F$47:$G$51,2,FALSE))</f>
        <v/>
      </c>
      <c r="Y26" s="364"/>
      <c r="Z26" s="365"/>
      <c r="AA26" s="615"/>
      <c r="AB26" s="215" t="str">
        <f t="shared" si="4"/>
        <v/>
      </c>
      <c r="AC26" s="215" t="str">
        <f>IF(AB26="","",VLOOKUP(AB26,'11. Lists'!$F$36:$H$38,2,FALSE))</f>
        <v/>
      </c>
      <c r="AD26" s="211" t="str">
        <f>IF(AB26="","",VLOOKUP(AB26,'11. Lists'!$F$36:$H$38,3,FALSE))</f>
        <v/>
      </c>
      <c r="AE26" s="216" t="str">
        <f t="shared" si="5"/>
        <v/>
      </c>
      <c r="AF26" s="217" t="str">
        <f t="shared" si="6"/>
        <v/>
      </c>
      <c r="AG26" s="616" t="str">
        <f t="shared" si="7"/>
        <v/>
      </c>
      <c r="AH26" s="214" t="str">
        <f>IF(T26="","",VLOOKUP(T26,'11. Lists'!$B$47:$D$49,3,FALSE))</f>
        <v/>
      </c>
      <c r="AI26" s="381" t="str">
        <f>IF(D26="","",VLOOKUP(D26,'10. Condition and Temporal'!$B$6:$L$103,4,FALSE))</f>
        <v/>
      </c>
      <c r="AJ26" s="617" t="s">
        <v>280</v>
      </c>
      <c r="AK26" s="10" t="s">
        <v>280</v>
      </c>
      <c r="AL26" s="10"/>
      <c r="AM26" s="10"/>
      <c r="AN26" s="1"/>
      <c r="AO26" s="1"/>
      <c r="AP26" s="1"/>
      <c r="AQ26" s="1"/>
      <c r="AR26" s="10" t="str">
        <f t="shared" si="8"/>
        <v/>
      </c>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row>
    <row r="27" ht="14.25" customHeight="1">
      <c r="A27" s="1"/>
      <c r="B27" s="221">
        <v>17.0</v>
      </c>
      <c r="C27" s="618" t="s">
        <v>279</v>
      </c>
      <c r="D27" s="222"/>
      <c r="E27" s="47"/>
      <c r="F27" s="222"/>
      <c r="G27" s="42"/>
      <c r="H27" s="47"/>
      <c r="I27" s="619"/>
      <c r="J27" s="223"/>
      <c r="K27" s="205"/>
      <c r="L27" s="620" t="str">
        <f t="shared" si="1"/>
        <v/>
      </c>
      <c r="M27" s="224" t="str">
        <f t="shared" si="2"/>
        <v/>
      </c>
      <c r="N27" s="620" t="str">
        <f t="shared" si="3"/>
        <v/>
      </c>
      <c r="O27" s="226"/>
      <c r="P27" s="229"/>
      <c r="Q27" s="1"/>
      <c r="R27" s="161"/>
      <c r="S27" s="1"/>
      <c r="T27" s="210" t="str">
        <f>IF(D27="","",VLOOKUP(D27,'9. All Habitats + Multipliers'!$C$4:$K$102,5,FALSE))</f>
        <v/>
      </c>
      <c r="U27" s="47"/>
      <c r="V27" s="218" t="str">
        <f>IF(T27="","",VLOOKUP(T27,'11. Lists'!$B$47:$D$49,2,FALSE))</f>
        <v/>
      </c>
      <c r="W27" s="214" t="str">
        <f>IF(D27="","",VLOOKUP(D27,'10. Condition and Temporal'!$B$6:$C$103,2,FALSE))</f>
        <v/>
      </c>
      <c r="X27" s="218" t="str">
        <f>IF(W27="","",VLOOKUP(W27,'11. Lists'!$F$47:$G$51,2,FALSE))</f>
        <v/>
      </c>
      <c r="Y27" s="364"/>
      <c r="Z27" s="365"/>
      <c r="AA27" s="615"/>
      <c r="AB27" s="215" t="str">
        <f t="shared" si="4"/>
        <v/>
      </c>
      <c r="AC27" s="215" t="str">
        <f>IF(AB27="","",VLOOKUP(AB27,'11. Lists'!$F$36:$H$38,2,FALSE))</f>
        <v/>
      </c>
      <c r="AD27" s="211" t="str">
        <f>IF(AB27="","",VLOOKUP(AB27,'11. Lists'!$F$36:$H$38,3,FALSE))</f>
        <v/>
      </c>
      <c r="AE27" s="216" t="str">
        <f t="shared" si="5"/>
        <v/>
      </c>
      <c r="AF27" s="217" t="str">
        <f t="shared" si="6"/>
        <v/>
      </c>
      <c r="AG27" s="616" t="str">
        <f t="shared" si="7"/>
        <v/>
      </c>
      <c r="AH27" s="214" t="str">
        <f>IF(T27="","",VLOOKUP(T27,'11. Lists'!$B$47:$D$49,3,FALSE))</f>
        <v/>
      </c>
      <c r="AI27" s="381" t="str">
        <f>IF(D27="","",VLOOKUP(D27,'10. Condition and Temporal'!$B$6:$L$103,4,FALSE))</f>
        <v/>
      </c>
      <c r="AJ27" s="617" t="s">
        <v>280</v>
      </c>
      <c r="AK27" s="10" t="s">
        <v>280</v>
      </c>
      <c r="AL27" s="10"/>
      <c r="AM27" s="10"/>
      <c r="AN27" s="1"/>
      <c r="AO27" s="1"/>
      <c r="AP27" s="1"/>
      <c r="AQ27" s="1"/>
      <c r="AR27" s="10" t="str">
        <f t="shared" si="8"/>
        <v/>
      </c>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ht="14.25" customHeight="1">
      <c r="A28" s="1"/>
      <c r="B28" s="221">
        <v>18.0</v>
      </c>
      <c r="C28" s="618" t="s">
        <v>279</v>
      </c>
      <c r="D28" s="222"/>
      <c r="E28" s="47"/>
      <c r="F28" s="222"/>
      <c r="G28" s="42"/>
      <c r="H28" s="47"/>
      <c r="I28" s="619"/>
      <c r="J28" s="223"/>
      <c r="K28" s="205"/>
      <c r="L28" s="620" t="str">
        <f t="shared" si="1"/>
        <v/>
      </c>
      <c r="M28" s="224" t="str">
        <f t="shared" si="2"/>
        <v/>
      </c>
      <c r="N28" s="620" t="str">
        <f t="shared" si="3"/>
        <v/>
      </c>
      <c r="O28" s="226"/>
      <c r="P28" s="229"/>
      <c r="Q28" s="1"/>
      <c r="R28" s="161"/>
      <c r="S28" s="1"/>
      <c r="T28" s="210" t="str">
        <f>IF(D28="","",VLOOKUP(D28,'9. All Habitats + Multipliers'!$C$4:$K$102,5,FALSE))</f>
        <v/>
      </c>
      <c r="U28" s="47"/>
      <c r="V28" s="218" t="str">
        <f>IF(T28="","",VLOOKUP(T28,'11. Lists'!$B$47:$D$49,2,FALSE))</f>
        <v/>
      </c>
      <c r="W28" s="214" t="str">
        <f>IF(D28="","",VLOOKUP(D28,'10. Condition and Temporal'!$B$6:$C$103,2,FALSE))</f>
        <v/>
      </c>
      <c r="X28" s="218" t="str">
        <f>IF(W28="","",VLOOKUP(W28,'11. Lists'!$F$47:$G$51,2,FALSE))</f>
        <v/>
      </c>
      <c r="Y28" s="364"/>
      <c r="Z28" s="365"/>
      <c r="AA28" s="615"/>
      <c r="AB28" s="215" t="str">
        <f t="shared" si="4"/>
        <v/>
      </c>
      <c r="AC28" s="215" t="str">
        <f>IF(AB28="","",VLOOKUP(AB28,'11. Lists'!$F$36:$H$38,2,FALSE))</f>
        <v/>
      </c>
      <c r="AD28" s="211" t="str">
        <f>IF(AB28="","",VLOOKUP(AB28,'11. Lists'!$F$36:$H$38,3,FALSE))</f>
        <v/>
      </c>
      <c r="AE28" s="216" t="str">
        <f t="shared" si="5"/>
        <v/>
      </c>
      <c r="AF28" s="217" t="str">
        <f t="shared" si="6"/>
        <v/>
      </c>
      <c r="AG28" s="616" t="str">
        <f t="shared" si="7"/>
        <v/>
      </c>
      <c r="AH28" s="214" t="str">
        <f>IF(T28="","",VLOOKUP(T28,'11. Lists'!$B$47:$D$49,3,FALSE))</f>
        <v/>
      </c>
      <c r="AI28" s="381" t="str">
        <f>IF(D28="","",VLOOKUP(D28,'10. Condition and Temporal'!$B$6:$L$103,4,FALSE))</f>
        <v/>
      </c>
      <c r="AJ28" s="617" t="s">
        <v>280</v>
      </c>
      <c r="AK28" s="10" t="s">
        <v>280</v>
      </c>
      <c r="AL28" s="10"/>
      <c r="AM28" s="10"/>
      <c r="AN28" s="1"/>
      <c r="AO28" s="1"/>
      <c r="AP28" s="1"/>
      <c r="AQ28" s="1"/>
      <c r="AR28" s="10" t="str">
        <f t="shared" si="8"/>
        <v/>
      </c>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row>
    <row r="29" ht="14.25" customHeight="1">
      <c r="A29" s="1"/>
      <c r="B29" s="221">
        <v>19.0</v>
      </c>
      <c r="C29" s="618" t="s">
        <v>279</v>
      </c>
      <c r="D29" s="222"/>
      <c r="E29" s="47"/>
      <c r="F29" s="222"/>
      <c r="G29" s="42"/>
      <c r="H29" s="47"/>
      <c r="I29" s="619"/>
      <c r="J29" s="223"/>
      <c r="K29" s="205"/>
      <c r="L29" s="620" t="str">
        <f t="shared" si="1"/>
        <v/>
      </c>
      <c r="M29" s="224" t="str">
        <f t="shared" si="2"/>
        <v/>
      </c>
      <c r="N29" s="620" t="str">
        <f t="shared" si="3"/>
        <v/>
      </c>
      <c r="O29" s="226"/>
      <c r="P29" s="229"/>
      <c r="Q29" s="1"/>
      <c r="R29" s="161"/>
      <c r="S29" s="1"/>
      <c r="T29" s="210" t="str">
        <f>IF(D29="","",VLOOKUP(D29,'9. All Habitats + Multipliers'!$C$4:$K$102,5,FALSE))</f>
        <v/>
      </c>
      <c r="U29" s="47"/>
      <c r="V29" s="218" t="str">
        <f>IF(T29="","",VLOOKUP(T29,'11. Lists'!$B$47:$D$49,2,FALSE))</f>
        <v/>
      </c>
      <c r="W29" s="214" t="str">
        <f>IF(D29="","",VLOOKUP(D29,'10. Condition and Temporal'!$B$6:$C$103,2,FALSE))</f>
        <v/>
      </c>
      <c r="X29" s="218" t="str">
        <f>IF(W29="","",VLOOKUP(W29,'11. Lists'!$F$47:$G$51,2,FALSE))</f>
        <v/>
      </c>
      <c r="Y29" s="364"/>
      <c r="Z29" s="365"/>
      <c r="AA29" s="615"/>
      <c r="AB29" s="215" t="str">
        <f t="shared" si="4"/>
        <v/>
      </c>
      <c r="AC29" s="215" t="str">
        <f>IF(AB29="","",VLOOKUP(AB29,'11. Lists'!$F$36:$H$38,2,FALSE))</f>
        <v/>
      </c>
      <c r="AD29" s="211" t="str">
        <f>IF(AB29="","",VLOOKUP(AB29,'11. Lists'!$F$36:$H$38,3,FALSE))</f>
        <v/>
      </c>
      <c r="AE29" s="216" t="str">
        <f t="shared" si="5"/>
        <v/>
      </c>
      <c r="AF29" s="217" t="str">
        <f t="shared" si="6"/>
        <v/>
      </c>
      <c r="AG29" s="616" t="str">
        <f t="shared" si="7"/>
        <v/>
      </c>
      <c r="AH29" s="214" t="str">
        <f>IF(T29="","",VLOOKUP(T29,'11. Lists'!$B$47:$D$49,3,FALSE))</f>
        <v/>
      </c>
      <c r="AI29" s="381" t="str">
        <f>IF(D29="","",VLOOKUP(D29,'10. Condition and Temporal'!$B$6:$L$103,4,FALSE))</f>
        <v/>
      </c>
      <c r="AJ29" s="617" t="s">
        <v>280</v>
      </c>
      <c r="AK29" s="10" t="s">
        <v>280</v>
      </c>
      <c r="AL29" s="10"/>
      <c r="AM29" s="10"/>
      <c r="AN29" s="1"/>
      <c r="AO29" s="1"/>
      <c r="AP29" s="1"/>
      <c r="AQ29" s="1"/>
      <c r="AR29" s="10" t="str">
        <f t="shared" si="8"/>
        <v/>
      </c>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row>
    <row r="30" ht="16.5" customHeight="1">
      <c r="A30" s="1"/>
      <c r="B30" s="231">
        <v>20.0</v>
      </c>
      <c r="C30" s="621" t="s">
        <v>279</v>
      </c>
      <c r="D30" s="232"/>
      <c r="E30" s="51"/>
      <c r="F30" s="232"/>
      <c r="G30" s="53"/>
      <c r="H30" s="51"/>
      <c r="I30" s="622"/>
      <c r="J30" s="513"/>
      <c r="K30" s="514"/>
      <c r="L30" s="623" t="str">
        <f t="shared" si="1"/>
        <v/>
      </c>
      <c r="M30" s="516" t="str">
        <f t="shared" si="2"/>
        <v/>
      </c>
      <c r="N30" s="623" t="str">
        <f t="shared" si="3"/>
        <v/>
      </c>
      <c r="O30" s="235"/>
      <c r="P30" s="236"/>
      <c r="Q30" s="1"/>
      <c r="R30" s="161"/>
      <c r="S30" s="1"/>
      <c r="T30" s="250" t="str">
        <f>IF(D30="","",VLOOKUP(D30,'9. All Habitats + Multipliers'!$C$4:$K$102,5,FALSE))</f>
        <v/>
      </c>
      <c r="U30" s="51"/>
      <c r="V30" s="218" t="str">
        <f>IF(T30="","",VLOOKUP(T30,'11. Lists'!$B$47:$D$49,2,FALSE))</f>
        <v/>
      </c>
      <c r="W30" s="253" t="str">
        <f>IF(D30="","",VLOOKUP(D30,'10. Condition and Temporal'!$B$6:$C$103,2,FALSE))</f>
        <v/>
      </c>
      <c r="X30" s="257" t="str">
        <f>IF(W30="","",VLOOKUP(W30,'11. Lists'!$F$47:$G$51,2,FALSE))</f>
        <v/>
      </c>
      <c r="Y30" s="364"/>
      <c r="Z30" s="365"/>
      <c r="AA30" s="615"/>
      <c r="AB30" s="215" t="str">
        <f t="shared" si="4"/>
        <v/>
      </c>
      <c r="AC30" s="215" t="str">
        <f>IF(AB30="","",VLOOKUP(AB30,'11. Lists'!$F$36:$H$38,2,FALSE))</f>
        <v/>
      </c>
      <c r="AD30" s="211" t="str">
        <f>IF(AB30="","",VLOOKUP(AB30,'11. Lists'!$F$36:$H$38,3,FALSE))</f>
        <v/>
      </c>
      <c r="AE30" s="216" t="str">
        <f t="shared" si="5"/>
        <v/>
      </c>
      <c r="AF30" s="217" t="str">
        <f t="shared" si="6"/>
        <v/>
      </c>
      <c r="AG30" s="616" t="str">
        <f t="shared" si="7"/>
        <v/>
      </c>
      <c r="AH30" s="214" t="str">
        <f>IF(T30="","",VLOOKUP(T30,'11. Lists'!$B$47:$D$49,3,FALSE))</f>
        <v/>
      </c>
      <c r="AI30" s="381" t="str">
        <f>IF(D30="","",VLOOKUP(D30,'10. Condition and Temporal'!$B$6:$L$103,4,FALSE))</f>
        <v/>
      </c>
      <c r="AJ30" s="617" t="s">
        <v>280</v>
      </c>
      <c r="AK30" s="10" t="s">
        <v>280</v>
      </c>
      <c r="AL30" s="10"/>
      <c r="AM30" s="10"/>
      <c r="AN30" s="1"/>
      <c r="AO30" s="1"/>
      <c r="AP30" s="1"/>
      <c r="AQ30" s="1"/>
      <c r="AR30" s="10" t="str">
        <f t="shared" si="8"/>
        <v/>
      </c>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row>
    <row r="31" ht="14.25" customHeight="1">
      <c r="A31" s="1"/>
      <c r="B31" s="1"/>
      <c r="C31" s="1"/>
      <c r="D31" s="176"/>
      <c r="E31" s="259"/>
      <c r="F31" s="259"/>
      <c r="G31" s="259"/>
      <c r="H31" s="624" t="s">
        <v>256</v>
      </c>
      <c r="I31" s="261">
        <f t="shared" ref="I31:N31" si="9">SUM(I11:I30)</f>
        <v>0</v>
      </c>
      <c r="J31" s="262">
        <f t="shared" si="9"/>
        <v>0</v>
      </c>
      <c r="K31" s="263">
        <f t="shared" si="9"/>
        <v>0</v>
      </c>
      <c r="L31" s="357">
        <f t="shared" si="9"/>
        <v>0</v>
      </c>
      <c r="M31" s="625">
        <f t="shared" si="9"/>
        <v>0</v>
      </c>
      <c r="N31" s="626">
        <f t="shared" si="9"/>
        <v>0</v>
      </c>
      <c r="O31" s="1"/>
      <c r="P31" s="1"/>
      <c r="Q31" s="1"/>
      <c r="R31" s="20"/>
      <c r="S31" s="1"/>
      <c r="T31" s="1"/>
      <c r="U31" s="1"/>
      <c r="V31" s="1"/>
      <c r="W31" s="1"/>
      <c r="X31" s="1"/>
      <c r="Y31" s="1"/>
      <c r="Z31" s="1"/>
      <c r="AA31" s="1"/>
      <c r="AB31" s="1"/>
      <c r="AC31" s="1"/>
      <c r="AD31" s="1"/>
      <c r="AE31" s="1"/>
      <c r="AF31" s="1"/>
      <c r="AG31" s="1"/>
      <c r="AH31" s="1"/>
      <c r="AI31" s="1"/>
      <c r="AJ31" s="10"/>
      <c r="AK31" s="10"/>
      <c r="AL31" s="10"/>
      <c r="AM31" s="10"/>
      <c r="AN31" s="10"/>
      <c r="AO31" s="1"/>
      <c r="AP31" s="1"/>
      <c r="AQ31" s="1"/>
      <c r="AR31" s="10"/>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row>
    <row r="32" ht="14.25" customHeight="1">
      <c r="A32" s="1"/>
      <c r="B32" s="1"/>
      <c r="C32" s="1"/>
      <c r="D32" s="176"/>
      <c r="E32" s="259"/>
      <c r="F32" s="259"/>
      <c r="G32" s="259"/>
      <c r="H32" s="522" t="s">
        <v>125</v>
      </c>
      <c r="I32" s="523" t="str">
        <f>IF(I31&lt;J31+K31,"Error - Lengths Retained and Enhanced Exceed Total Length ▲","Lengths Acceptable ✓")</f>
        <v>Lengths Acceptable ✓</v>
      </c>
      <c r="J32" s="36"/>
      <c r="K32" s="36"/>
      <c r="L32" s="36"/>
      <c r="M32" s="36"/>
      <c r="N32" s="37"/>
      <c r="O32" s="10">
        <f>IFERROR(FIND("Error",#REF!),0)</f>
        <v>0</v>
      </c>
      <c r="P32" s="1"/>
      <c r="Q32" s="1"/>
      <c r="R32" s="269"/>
      <c r="S32" s="1"/>
      <c r="T32" s="1"/>
      <c r="U32" s="1"/>
      <c r="V32" s="1"/>
      <c r="W32" s="1"/>
      <c r="X32" s="1"/>
      <c r="Y32" s="1"/>
      <c r="Z32" s="1"/>
      <c r="AA32" s="1"/>
      <c r="AB32" s="1"/>
      <c r="AC32" s="1"/>
      <c r="AD32" s="1"/>
      <c r="AE32" s="1"/>
      <c r="AF32" s="1"/>
      <c r="AG32" s="1"/>
      <c r="AH32" s="1"/>
      <c r="AI32" s="1"/>
      <c r="AJ32" s="10"/>
      <c r="AK32" s="10"/>
      <c r="AL32" s="10"/>
      <c r="AM32" s="10"/>
      <c r="AN32" s="10"/>
      <c r="AO32" s="1"/>
      <c r="AP32" s="1"/>
      <c r="AQ32" s="1"/>
      <c r="AR32" s="10"/>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row>
    <row r="33" ht="14.25" customHeight="1">
      <c r="A33" s="1"/>
      <c r="B33" s="1"/>
      <c r="C33" s="1"/>
      <c r="D33" s="176"/>
      <c r="E33" s="259"/>
      <c r="F33" s="259"/>
      <c r="G33" s="259"/>
      <c r="H33" s="272" t="s">
        <v>125</v>
      </c>
      <c r="I33" s="627" t="str">
        <f>IF(I31&lt;5000,"Lengths Acceptable ✓",IF(I31&gt;=5000,"Length Exceeds Length Appropriate for Small Sites Metric ▲"))</f>
        <v>Lengths Acceptable ✓</v>
      </c>
      <c r="J33" s="53"/>
      <c r="K33" s="53"/>
      <c r="L33" s="53"/>
      <c r="M33" s="53"/>
      <c r="N33" s="54"/>
      <c r="O33" s="10">
        <f>COUNTIF(L11:N30,"*"&amp;"error"&amp;"*")</f>
        <v>0</v>
      </c>
      <c r="P33" s="1"/>
      <c r="Q33" s="1"/>
      <c r="R33" s="269"/>
      <c r="S33" s="1"/>
      <c r="T33" s="1"/>
      <c r="U33" s="1"/>
      <c r="V33" s="1"/>
      <c r="W33" s="1"/>
      <c r="X33" s="1"/>
      <c r="Y33" s="1"/>
      <c r="Z33" s="1"/>
      <c r="AA33" s="1"/>
      <c r="AB33" s="1"/>
      <c r="AC33" s="1"/>
      <c r="AD33" s="1"/>
      <c r="AE33" s="1"/>
      <c r="AF33" s="1"/>
      <c r="AG33" s="1"/>
      <c r="AH33" s="1"/>
      <c r="AI33" s="1"/>
      <c r="AJ33" s="10"/>
      <c r="AK33" s="10"/>
      <c r="AL33" s="10"/>
      <c r="AM33" s="10"/>
      <c r="AN33" s="10"/>
      <c r="AO33" s="1"/>
      <c r="AP33" s="1"/>
      <c r="AQ33" s="1"/>
      <c r="AR33" s="10"/>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row>
    <row r="34" ht="14.25" customHeight="1">
      <c r="A34" s="1"/>
      <c r="B34" s="1"/>
      <c r="C34" s="1"/>
      <c r="D34" s="176"/>
      <c r="E34" s="259"/>
      <c r="F34" s="259"/>
      <c r="G34" s="259"/>
      <c r="H34" s="259"/>
      <c r="I34" s="259"/>
      <c r="J34" s="259"/>
      <c r="K34" s="259"/>
      <c r="L34" s="259"/>
      <c r="M34" s="259"/>
      <c r="N34" s="259"/>
      <c r="O34" s="154"/>
      <c r="P34" s="1"/>
      <c r="Q34" s="1"/>
      <c r="R34" s="153" t="s">
        <v>77</v>
      </c>
      <c r="S34" s="1"/>
      <c r="T34" s="1"/>
      <c r="U34" s="1"/>
      <c r="V34" s="1"/>
      <c r="W34" s="1"/>
      <c r="X34" s="1"/>
      <c r="Y34" s="1"/>
      <c r="Z34" s="1"/>
      <c r="AA34" s="1"/>
      <c r="AB34" s="1"/>
      <c r="AC34" s="1"/>
      <c r="AD34" s="1"/>
      <c r="AE34" s="1"/>
      <c r="AF34" s="1"/>
      <c r="AG34" s="1"/>
      <c r="AH34" s="1"/>
      <c r="AI34" s="1"/>
      <c r="AJ34" s="10"/>
      <c r="AK34" s="10"/>
      <c r="AL34" s="10"/>
      <c r="AM34" s="10"/>
      <c r="AN34" s="10"/>
      <c r="AO34" s="1"/>
      <c r="AP34" s="1"/>
      <c r="AQ34" s="1"/>
      <c r="AR34" s="10"/>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row>
    <row r="35" ht="14.25" customHeight="1">
      <c r="A35" s="1"/>
      <c r="B35" s="128" t="s">
        <v>128</v>
      </c>
      <c r="C35" s="1"/>
      <c r="D35" s="174"/>
      <c r="E35" s="259"/>
      <c r="F35" s="259"/>
      <c r="G35" s="259"/>
      <c r="H35" s="1"/>
      <c r="I35" s="154"/>
      <c r="J35" s="1"/>
      <c r="K35" s="1"/>
      <c r="L35" s="1"/>
      <c r="M35" s="1"/>
      <c r="N35" s="1"/>
      <c r="O35" s="1"/>
      <c r="P35" s="1"/>
      <c r="Q35" s="1"/>
      <c r="R35" s="161"/>
      <c r="S35" s="1"/>
      <c r="T35" s="1"/>
      <c r="U35" s="1"/>
      <c r="V35" s="1"/>
      <c r="W35" s="1"/>
      <c r="X35" s="1"/>
      <c r="Y35" s="1"/>
      <c r="Z35" s="1"/>
      <c r="AA35" s="1"/>
      <c r="AB35" s="1"/>
      <c r="AC35" s="1"/>
      <c r="AD35" s="1"/>
      <c r="AE35" s="1"/>
      <c r="AF35" s="1"/>
      <c r="AG35" s="1"/>
      <c r="AH35" s="1"/>
      <c r="AI35" s="1"/>
      <c r="AJ35" s="10"/>
      <c r="AK35" s="10"/>
      <c r="AL35" s="10"/>
      <c r="AM35" s="10"/>
      <c r="AN35" s="10"/>
      <c r="AO35" s="1"/>
      <c r="AP35" s="1"/>
      <c r="AQ35" s="1"/>
      <c r="AR35" s="10"/>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row>
    <row r="36" ht="15.75" customHeight="1">
      <c r="A36" s="1"/>
      <c r="B36" s="1"/>
      <c r="C36" s="1"/>
      <c r="D36" s="1"/>
      <c r="E36" s="1"/>
      <c r="F36" s="1"/>
      <c r="G36" s="1"/>
      <c r="H36" s="1"/>
      <c r="I36" s="1"/>
      <c r="J36" s="1"/>
      <c r="K36" s="1"/>
      <c r="L36" s="1"/>
      <c r="M36" s="1"/>
      <c r="N36" s="1"/>
      <c r="O36" s="1"/>
      <c r="P36" s="1"/>
      <c r="Q36" s="1"/>
      <c r="R36" s="161"/>
      <c r="S36" s="1"/>
      <c r="T36" s="1"/>
      <c r="U36" s="1"/>
      <c r="V36" s="1"/>
      <c r="W36" s="1"/>
      <c r="X36" s="1"/>
      <c r="Y36" s="1"/>
      <c r="Z36" s="1"/>
      <c r="AA36" s="1"/>
      <c r="AB36" s="1"/>
      <c r="AC36" s="1"/>
      <c r="AD36" s="1"/>
      <c r="AE36" s="1"/>
      <c r="AF36" s="1"/>
      <c r="AG36" s="1"/>
      <c r="AH36" s="1"/>
      <c r="AI36" s="1"/>
      <c r="AJ36" s="10"/>
      <c r="AK36" s="10"/>
      <c r="AL36" s="10"/>
      <c r="AM36" s="10"/>
      <c r="AN36" s="10"/>
      <c r="AO36" s="1"/>
      <c r="AP36" s="1"/>
      <c r="AQ36" s="1"/>
      <c r="AR36" s="10"/>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row>
    <row r="37" ht="15.75" customHeight="1">
      <c r="A37" s="1"/>
      <c r="B37" s="177" t="s">
        <v>71</v>
      </c>
      <c r="C37" s="274"/>
      <c r="D37" s="275"/>
      <c r="E37" s="178" t="s">
        <v>129</v>
      </c>
      <c r="F37" s="179"/>
      <c r="G37" s="60"/>
      <c r="H37" s="276" t="s">
        <v>130</v>
      </c>
      <c r="I37" s="180" t="s">
        <v>257</v>
      </c>
      <c r="J37" s="26"/>
      <c r="K37" s="278"/>
      <c r="L37" s="180" t="s">
        <v>281</v>
      </c>
      <c r="M37" s="26"/>
      <c r="N37" s="27"/>
      <c r="O37" s="525" t="s">
        <v>90</v>
      </c>
      <c r="P37" s="60"/>
      <c r="Q37" s="1"/>
      <c r="R37" s="161"/>
      <c r="S37" s="1"/>
      <c r="T37" s="601" t="s">
        <v>91</v>
      </c>
      <c r="U37" s="241"/>
      <c r="V37" s="239"/>
      <c r="W37" s="601" t="s">
        <v>92</v>
      </c>
      <c r="X37" s="239"/>
      <c r="Y37" s="184"/>
      <c r="Z37" s="14"/>
      <c r="AA37" s="15"/>
      <c r="AB37" s="601" t="s">
        <v>93</v>
      </c>
      <c r="AC37" s="241"/>
      <c r="AD37" s="239"/>
      <c r="AE37" s="628" t="s">
        <v>133</v>
      </c>
      <c r="AF37" s="629"/>
      <c r="AG37" s="628" t="s">
        <v>134</v>
      </c>
      <c r="AH37" s="629"/>
      <c r="AI37" s="630" t="s">
        <v>282</v>
      </c>
      <c r="AJ37" s="10"/>
      <c r="AK37" s="10"/>
      <c r="AL37" s="10"/>
      <c r="AM37" s="10"/>
      <c r="AN37" s="10"/>
      <c r="AO37" s="1"/>
      <c r="AP37" s="1"/>
      <c r="AQ37" s="1"/>
      <c r="AR37" s="10"/>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row>
    <row r="38" ht="14.25" customHeight="1">
      <c r="A38" s="1"/>
      <c r="B38" s="187"/>
      <c r="C38" s="189" t="s">
        <v>97</v>
      </c>
      <c r="D38" s="279" t="s">
        <v>135</v>
      </c>
      <c r="E38" s="168" t="s">
        <v>136</v>
      </c>
      <c r="F38" s="280" t="s">
        <v>137</v>
      </c>
      <c r="G38" s="54"/>
      <c r="H38" s="281"/>
      <c r="I38" s="170"/>
      <c r="J38" s="171"/>
      <c r="K38" s="283"/>
      <c r="L38" s="469"/>
      <c r="M38" s="8"/>
      <c r="N38" s="526"/>
      <c r="O38" s="333" t="s">
        <v>105</v>
      </c>
      <c r="P38" s="190" t="s">
        <v>106</v>
      </c>
      <c r="Q38" s="1"/>
      <c r="R38" s="161"/>
      <c r="S38" s="1"/>
      <c r="T38" s="628" t="s">
        <v>107</v>
      </c>
      <c r="U38" s="631"/>
      <c r="V38" s="632" t="s">
        <v>108</v>
      </c>
      <c r="W38" s="633" t="s">
        <v>109</v>
      </c>
      <c r="X38" s="634" t="s">
        <v>108</v>
      </c>
      <c r="Y38" s="608"/>
      <c r="Z38" s="609"/>
      <c r="AA38" s="635"/>
      <c r="AB38" s="633" t="s">
        <v>93</v>
      </c>
      <c r="AC38" s="636" t="s">
        <v>93</v>
      </c>
      <c r="AD38" s="634" t="s">
        <v>110</v>
      </c>
      <c r="AE38" s="633" t="s">
        <v>138</v>
      </c>
      <c r="AF38" s="634" t="s">
        <v>139</v>
      </c>
      <c r="AG38" s="633" t="s">
        <v>140</v>
      </c>
      <c r="AH38" s="634" t="s">
        <v>141</v>
      </c>
      <c r="AI38" s="79"/>
      <c r="AJ38" s="10"/>
      <c r="AK38" s="10"/>
      <c r="AL38" s="10"/>
      <c r="AM38" s="10"/>
      <c r="AN38" s="10"/>
      <c r="AO38" s="1"/>
      <c r="AP38" s="1"/>
      <c r="AQ38" s="1"/>
      <c r="AR38" s="10"/>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row>
    <row r="39" ht="14.25" customHeight="1">
      <c r="A39" s="1"/>
      <c r="B39" s="492">
        <v>1.0</v>
      </c>
      <c r="C39" s="612" t="s">
        <v>279</v>
      </c>
      <c r="D39" s="557"/>
      <c r="E39" s="637" t="str">
        <f>IF(D39="","",VLOOKUP(D39,'10. Condition and Temporal'!$B$6:$D$103,3,FALSE))</f>
        <v/>
      </c>
      <c r="F39" s="287"/>
      <c r="G39" s="60"/>
      <c r="H39" s="638"/>
      <c r="I39" s="639"/>
      <c r="J39" s="179"/>
      <c r="K39" s="179"/>
      <c r="L39" s="531" t="str">
        <f t="shared" ref="L39:L58" si="10">IF(D39="","",IFERROR(IF(I39="","",((I39/1000)*(V39*X39))*(AH39*AF39)*AD39*AI39),"This intervention is not permitted within the SSM ▲"))</f>
        <v/>
      </c>
      <c r="M39" s="42"/>
      <c r="N39" s="43"/>
      <c r="O39" s="556"/>
      <c r="P39" s="557"/>
      <c r="Q39" s="294"/>
      <c r="R39" s="161"/>
      <c r="S39" s="1"/>
      <c r="T39" s="640" t="str">
        <f>IF(D39="","",VLOOKUP(D39,'9. All Habitats + Multipliers'!$C$4:$K$102,5,FALSE))</f>
        <v/>
      </c>
      <c r="U39" s="122"/>
      <c r="V39" s="363" t="str">
        <f>IF(T39="","",VLOOKUP(T39,'11. Lists'!$B$47:$D$49,2,FALSE))</f>
        <v/>
      </c>
      <c r="W39" s="362" t="str">
        <f t="shared" ref="W39:W58" si="11">IF(F39="","",F39)</f>
        <v/>
      </c>
      <c r="X39" s="363" t="str">
        <f>IF(W39="","",VLOOKUP(W39,'11. Lists'!$F$47:$G$51,2,FALSE))</f>
        <v/>
      </c>
      <c r="Y39" s="364"/>
      <c r="Z39" s="365"/>
      <c r="AA39" s="366"/>
      <c r="AB39" s="379" t="str">
        <f t="shared" ref="AB39:AB58" si="12">IF(H39="","",H39)</f>
        <v/>
      </c>
      <c r="AC39" s="558" t="str">
        <f>IF(AB39="","",VLOOKUP(AB39,'11. Lists'!$F$36:$H$38,2,FALSE))</f>
        <v/>
      </c>
      <c r="AD39" s="380" t="str">
        <f>IF(AB39="","",VLOOKUP(AB39,'11. Lists'!$F$36:$H$38,3,FALSE))</f>
        <v/>
      </c>
      <c r="AE39" s="362"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373" t="str">
        <f>IF(AE39="","",VLOOKUP(AE39,'11. Lists'!$I$47:$K$80,3,FALSE))</f>
        <v/>
      </c>
      <c r="AG39" s="362" t="str">
        <f>IF(D39="","",VLOOKUP(D39,'9. All Habitats + Multipliers'!$C$4:$K$102,7,FALSE))</f>
        <v/>
      </c>
      <c r="AH39" s="363" t="str">
        <f>IF(AG39="","",VLOOKUP(AG39,'11. Lists'!$J$35:$K$38,2,FALSE))</f>
        <v/>
      </c>
      <c r="AI39" s="641" t="str">
        <f t="array" ref="AI39:AI58">IF($D$39:$D$58="Culvert","0.68","1")</f>
        <v>1</v>
      </c>
      <c r="AJ39" s="10"/>
      <c r="AK39" s="10"/>
      <c r="AL39" s="10"/>
      <c r="AM39" s="10"/>
      <c r="AN39" s="10"/>
      <c r="AO39" s="1"/>
      <c r="AP39" s="1"/>
      <c r="AQ39" s="1"/>
      <c r="AR39" s="10"/>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row>
    <row r="40" ht="14.25" customHeight="1">
      <c r="A40" s="1"/>
      <c r="B40" s="221">
        <v>2.0</v>
      </c>
      <c r="C40" s="618" t="s">
        <v>279</v>
      </c>
      <c r="D40" s="285"/>
      <c r="E40" s="527" t="str">
        <f>IF(D40="","",VLOOKUP(D40,'10. Condition and Temporal'!$B$6:$D$103,3,FALSE))</f>
        <v/>
      </c>
      <c r="F40" s="297"/>
      <c r="G40" s="43"/>
      <c r="H40" s="298"/>
      <c r="I40" s="289"/>
      <c r="J40" s="31"/>
      <c r="K40" s="31"/>
      <c r="L40" s="531" t="str">
        <f t="shared" si="10"/>
        <v/>
      </c>
      <c r="M40" s="42"/>
      <c r="N40" s="43"/>
      <c r="O40" s="378"/>
      <c r="P40" s="300"/>
      <c r="Q40" s="294"/>
      <c r="R40" s="161"/>
      <c r="S40" s="1"/>
      <c r="T40" s="210" t="str">
        <f>IF(D40="","",VLOOKUP(D40,'9. All Habitats + Multipliers'!$C$4:$K$102,5,FALSE))</f>
        <v/>
      </c>
      <c r="U40" s="47"/>
      <c r="V40" s="211" t="str">
        <f>IF(T40="","",VLOOKUP(T40,'11. Lists'!$B$47:$D$49,2,FALSE))</f>
        <v/>
      </c>
      <c r="W40" s="214" t="str">
        <f t="shared" si="11"/>
        <v/>
      </c>
      <c r="X40" s="211" t="str">
        <f>IF(W40="","",VLOOKUP(W40,'11. Lists'!$F$47:$G$51,2,FALSE))</f>
        <v/>
      </c>
      <c r="Y40" s="364"/>
      <c r="Z40" s="365"/>
      <c r="AA40" s="366"/>
      <c r="AB40" s="214" t="str">
        <f t="shared" si="12"/>
        <v/>
      </c>
      <c r="AC40" s="215" t="str">
        <f>IF(AB40="","",VLOOKUP(AB40,'11. Lists'!$F$36:$H$38,2,FALSE))</f>
        <v/>
      </c>
      <c r="AD40" s="211" t="str">
        <f>IF(AB40="","",VLOOKUP(AB40,'11. Lists'!$F$36:$H$38,3,FALSE))</f>
        <v/>
      </c>
      <c r="AE40" s="214"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295" t="str">
        <f>IF(AE40="","",VLOOKUP(AE40,'11. Lists'!$I$47:$K$80,3,FALSE))</f>
        <v/>
      </c>
      <c r="AG40" s="214" t="str">
        <f>IF(D40="","",VLOOKUP(D40,'9. All Habitats + Multipliers'!$C$4:$K$102,7,FALSE))</f>
        <v/>
      </c>
      <c r="AH40" s="211" t="str">
        <f>IF(AG40="","",VLOOKUP(AG40,'11. Lists'!$J$35:$K$38,2,FALSE))</f>
        <v/>
      </c>
      <c r="AI40" s="642" t="s">
        <v>280</v>
      </c>
      <c r="AJ40" s="10"/>
      <c r="AK40" s="10"/>
      <c r="AL40" s="10"/>
      <c r="AM40" s="10"/>
      <c r="AN40" s="10"/>
      <c r="AO40" s="1"/>
      <c r="AP40" s="1"/>
      <c r="AQ40" s="1"/>
      <c r="AR40" s="10"/>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row>
    <row r="41" ht="14.25" customHeight="1">
      <c r="A41" s="1"/>
      <c r="B41" s="221">
        <v>3.0</v>
      </c>
      <c r="C41" s="618" t="s">
        <v>279</v>
      </c>
      <c r="D41" s="285"/>
      <c r="E41" s="527" t="str">
        <f>IF(D41="","",VLOOKUP(D41,'10. Condition and Temporal'!$B$6:$D$103,3,FALSE))</f>
        <v/>
      </c>
      <c r="F41" s="297"/>
      <c r="G41" s="43"/>
      <c r="H41" s="298"/>
      <c r="I41" s="289"/>
      <c r="J41" s="31"/>
      <c r="K41" s="31"/>
      <c r="L41" s="531" t="str">
        <f t="shared" si="10"/>
        <v/>
      </c>
      <c r="M41" s="42"/>
      <c r="N41" s="43"/>
      <c r="O41" s="378"/>
      <c r="P41" s="300"/>
      <c r="Q41" s="294"/>
      <c r="R41" s="161"/>
      <c r="S41" s="1"/>
      <c r="T41" s="210" t="str">
        <f>IF(D41="","",VLOOKUP(D41,'9. All Habitats + Multipliers'!$C$4:$K$102,5,FALSE))</f>
        <v/>
      </c>
      <c r="U41" s="47"/>
      <c r="V41" s="211" t="str">
        <f>IF(T41="","",VLOOKUP(T41,'11. Lists'!$B$47:$D$49,2,FALSE))</f>
        <v/>
      </c>
      <c r="W41" s="214" t="str">
        <f t="shared" si="11"/>
        <v/>
      </c>
      <c r="X41" s="211" t="str">
        <f>IF(W41="","",VLOOKUP(W41,'11. Lists'!$F$47:$G$51,2,FALSE))</f>
        <v/>
      </c>
      <c r="Y41" s="364"/>
      <c r="Z41" s="365"/>
      <c r="AA41" s="366"/>
      <c r="AB41" s="214" t="str">
        <f t="shared" si="12"/>
        <v/>
      </c>
      <c r="AC41" s="215" t="str">
        <f>IF(AB41="","",VLOOKUP(AB41,'11. Lists'!$F$36:$H$38,2,FALSE))</f>
        <v/>
      </c>
      <c r="AD41" s="211" t="str">
        <f>IF(AB41="","",VLOOKUP(AB41,'11. Lists'!$F$36:$H$38,3,FALSE))</f>
        <v/>
      </c>
      <c r="AE41" s="214"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295" t="str">
        <f>IF(AE41="","",VLOOKUP(AE41,'11. Lists'!$I$47:$K$80,3,FALSE))</f>
        <v/>
      </c>
      <c r="AG41" s="214" t="str">
        <f>IF(D41="","",VLOOKUP(D41,'9. All Habitats + Multipliers'!$C$4:$K$102,7,FALSE))</f>
        <v/>
      </c>
      <c r="AH41" s="211" t="str">
        <f>IF(AG41="","",VLOOKUP(AG41,'11. Lists'!$J$35:$K$38,2,FALSE))</f>
        <v/>
      </c>
      <c r="AI41" s="642" t="s">
        <v>280</v>
      </c>
      <c r="AJ41" s="10"/>
      <c r="AK41" s="10"/>
      <c r="AL41" s="10"/>
      <c r="AM41" s="10"/>
      <c r="AN41" s="10"/>
      <c r="AO41" s="1"/>
      <c r="AP41" s="1"/>
      <c r="AQ41" s="1"/>
      <c r="AR41" s="10"/>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row>
    <row r="42" ht="14.25" customHeight="1">
      <c r="A42" s="1"/>
      <c r="B42" s="221">
        <v>4.0</v>
      </c>
      <c r="C42" s="618" t="s">
        <v>279</v>
      </c>
      <c r="D42" s="285"/>
      <c r="E42" s="527" t="str">
        <f>IF(D42="","",VLOOKUP(D42,'10. Condition and Temporal'!$B$6:$D$103,3,FALSE))</f>
        <v/>
      </c>
      <c r="F42" s="297"/>
      <c r="G42" s="43"/>
      <c r="H42" s="298"/>
      <c r="I42" s="289"/>
      <c r="J42" s="31"/>
      <c r="K42" s="31"/>
      <c r="L42" s="531" t="str">
        <f t="shared" si="10"/>
        <v/>
      </c>
      <c r="M42" s="42"/>
      <c r="N42" s="43"/>
      <c r="O42" s="378"/>
      <c r="P42" s="300"/>
      <c r="Q42" s="294"/>
      <c r="R42" s="161"/>
      <c r="S42" s="1"/>
      <c r="T42" s="210" t="str">
        <f>IF(D42="","",VLOOKUP(D42,'9. All Habitats + Multipliers'!$C$4:$K$102,5,FALSE))</f>
        <v/>
      </c>
      <c r="U42" s="47"/>
      <c r="V42" s="211" t="str">
        <f>IF(T42="","",VLOOKUP(T42,'11. Lists'!$B$47:$D$49,2,FALSE))</f>
        <v/>
      </c>
      <c r="W42" s="214" t="str">
        <f t="shared" si="11"/>
        <v/>
      </c>
      <c r="X42" s="211" t="str">
        <f>IF(W42="","",VLOOKUP(W42,'11. Lists'!$F$47:$G$51,2,FALSE))</f>
        <v/>
      </c>
      <c r="Y42" s="364"/>
      <c r="Z42" s="365"/>
      <c r="AA42" s="366"/>
      <c r="AB42" s="214" t="str">
        <f t="shared" si="12"/>
        <v/>
      </c>
      <c r="AC42" s="215" t="str">
        <f>IF(AB42="","",VLOOKUP(AB42,'11. Lists'!$F$36:$H$38,2,FALSE))</f>
        <v/>
      </c>
      <c r="AD42" s="211" t="str">
        <f>IF(AB42="","",VLOOKUP(AB42,'11. Lists'!$F$36:$H$38,3,FALSE))</f>
        <v/>
      </c>
      <c r="AE42" s="214"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295" t="str">
        <f>IF(AE42="","",VLOOKUP(AE42,'11. Lists'!$I$47:$K$80,3,FALSE))</f>
        <v/>
      </c>
      <c r="AG42" s="214" t="str">
        <f>IF(D42="","",VLOOKUP(D42,'9. All Habitats + Multipliers'!$C$4:$K$102,7,FALSE))</f>
        <v/>
      </c>
      <c r="AH42" s="211" t="str">
        <f>IF(AG42="","",VLOOKUP(AG42,'11. Lists'!$J$35:$K$38,2,FALSE))</f>
        <v/>
      </c>
      <c r="AI42" s="642" t="s">
        <v>280</v>
      </c>
      <c r="AJ42" s="10"/>
      <c r="AK42" s="10"/>
      <c r="AL42" s="10"/>
      <c r="AM42" s="10"/>
      <c r="AN42" s="10"/>
      <c r="AO42" s="1"/>
      <c r="AP42" s="1"/>
      <c r="AQ42" s="1"/>
      <c r="AR42" s="10"/>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row>
    <row r="43" ht="14.25" customHeight="1">
      <c r="A43" s="1"/>
      <c r="B43" s="221">
        <v>5.0</v>
      </c>
      <c r="C43" s="618" t="s">
        <v>279</v>
      </c>
      <c r="D43" s="285"/>
      <c r="E43" s="527" t="str">
        <f>IF(D43="","",VLOOKUP(D43,'10. Condition and Temporal'!$B$6:$D$103,3,FALSE))</f>
        <v/>
      </c>
      <c r="F43" s="297"/>
      <c r="G43" s="43"/>
      <c r="H43" s="298"/>
      <c r="I43" s="289"/>
      <c r="J43" s="31"/>
      <c r="K43" s="31"/>
      <c r="L43" s="531" t="str">
        <f t="shared" si="10"/>
        <v/>
      </c>
      <c r="M43" s="42"/>
      <c r="N43" s="43"/>
      <c r="O43" s="378"/>
      <c r="P43" s="300"/>
      <c r="Q43" s="1"/>
      <c r="R43" s="161"/>
      <c r="S43" s="1"/>
      <c r="T43" s="210" t="str">
        <f>IF(D43="","",VLOOKUP(D43,'9. All Habitats + Multipliers'!$C$4:$K$102,5,FALSE))</f>
        <v/>
      </c>
      <c r="U43" s="47"/>
      <c r="V43" s="211" t="str">
        <f>IF(T43="","",VLOOKUP(T43,'11. Lists'!$B$47:$D$49,2,FALSE))</f>
        <v/>
      </c>
      <c r="W43" s="214" t="str">
        <f t="shared" si="11"/>
        <v/>
      </c>
      <c r="X43" s="211" t="str">
        <f>IF(W43="","",VLOOKUP(W43,'11. Lists'!$F$47:$G$51,2,FALSE))</f>
        <v/>
      </c>
      <c r="Y43" s="364"/>
      <c r="Z43" s="365"/>
      <c r="AA43" s="366"/>
      <c r="AB43" s="214" t="str">
        <f t="shared" si="12"/>
        <v/>
      </c>
      <c r="AC43" s="215" t="str">
        <f>IF(AB43="","",VLOOKUP(AB43,'11. Lists'!$F$36:$H$38,2,FALSE))</f>
        <v/>
      </c>
      <c r="AD43" s="211" t="str">
        <f>IF(AB43="","",VLOOKUP(AB43,'11. Lists'!$F$36:$H$38,3,FALSE))</f>
        <v/>
      </c>
      <c r="AE43" s="214"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295" t="str">
        <f>IF(AE43="","",VLOOKUP(AE43,'11. Lists'!$I$47:$K$80,3,FALSE))</f>
        <v/>
      </c>
      <c r="AG43" s="214" t="str">
        <f>IF(D43="","",VLOOKUP(D43,'9. All Habitats + Multipliers'!$C$4:$K$102,7,FALSE))</f>
        <v/>
      </c>
      <c r="AH43" s="211" t="str">
        <f>IF(AG43="","",VLOOKUP(AG43,'11. Lists'!$J$35:$K$38,2,FALSE))</f>
        <v/>
      </c>
      <c r="AI43" s="642" t="s">
        <v>280</v>
      </c>
      <c r="AJ43" s="10"/>
      <c r="AK43" s="10"/>
      <c r="AL43" s="10"/>
      <c r="AM43" s="10"/>
      <c r="AN43" s="10"/>
      <c r="AO43" s="1"/>
      <c r="AP43" s="1"/>
      <c r="AQ43" s="1"/>
      <c r="AR43" s="10"/>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row>
    <row r="44" ht="14.25" customHeight="1">
      <c r="A44" s="1"/>
      <c r="B44" s="221">
        <v>6.0</v>
      </c>
      <c r="C44" s="618" t="s">
        <v>279</v>
      </c>
      <c r="D44" s="285"/>
      <c r="E44" s="527" t="str">
        <f>IF(D44="","",VLOOKUP(D44,'10. Condition and Temporal'!$B$6:$D$103,3,FALSE))</f>
        <v/>
      </c>
      <c r="F44" s="297"/>
      <c r="G44" s="43"/>
      <c r="H44" s="298"/>
      <c r="I44" s="289"/>
      <c r="J44" s="31"/>
      <c r="K44" s="31"/>
      <c r="L44" s="531" t="str">
        <f t="shared" si="10"/>
        <v/>
      </c>
      <c r="M44" s="42"/>
      <c r="N44" s="43"/>
      <c r="O44" s="378"/>
      <c r="P44" s="300"/>
      <c r="Q44" s="1"/>
      <c r="R44" s="161"/>
      <c r="S44" s="1"/>
      <c r="T44" s="210" t="str">
        <f>IF(D44="","",VLOOKUP(D44,'9. All Habitats + Multipliers'!$C$4:$K$102,5,FALSE))</f>
        <v/>
      </c>
      <c r="U44" s="47"/>
      <c r="V44" s="211" t="str">
        <f>IF(T44="","",VLOOKUP(T44,'11. Lists'!$B$47:$D$49,2,FALSE))</f>
        <v/>
      </c>
      <c r="W44" s="214" t="str">
        <f t="shared" si="11"/>
        <v/>
      </c>
      <c r="X44" s="211" t="str">
        <f>IF(W44="","",VLOOKUP(W44,'11. Lists'!$F$47:$G$51,2,FALSE))</f>
        <v/>
      </c>
      <c r="Y44" s="364"/>
      <c r="Z44" s="365"/>
      <c r="AA44" s="366"/>
      <c r="AB44" s="214" t="str">
        <f t="shared" si="12"/>
        <v/>
      </c>
      <c r="AC44" s="215" t="str">
        <f>IF(AB44="","",VLOOKUP(AB44,'11. Lists'!$F$36:$H$38,2,FALSE))</f>
        <v/>
      </c>
      <c r="AD44" s="211" t="str">
        <f>IF(AB44="","",VLOOKUP(AB44,'11. Lists'!$F$36:$H$38,3,FALSE))</f>
        <v/>
      </c>
      <c r="AE44" s="214"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295" t="str">
        <f>IF(AE44="","",VLOOKUP(AE44,'11. Lists'!$I$47:$K$80,3,FALSE))</f>
        <v/>
      </c>
      <c r="AG44" s="214" t="str">
        <f>IF(D44="","",VLOOKUP(D44,'9. All Habitats + Multipliers'!$C$4:$K$102,7,FALSE))</f>
        <v/>
      </c>
      <c r="AH44" s="211" t="str">
        <f>IF(AG44="","",VLOOKUP(AG44,'11. Lists'!$J$35:$K$38,2,FALSE))</f>
        <v/>
      </c>
      <c r="AI44" s="642" t="s">
        <v>280</v>
      </c>
      <c r="AJ44" s="10"/>
      <c r="AK44" s="10"/>
      <c r="AL44" s="10"/>
      <c r="AM44" s="10"/>
      <c r="AN44" s="10"/>
      <c r="AO44" s="1"/>
      <c r="AP44" s="1"/>
      <c r="AQ44" s="1"/>
      <c r="AR44" s="10"/>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row>
    <row r="45" ht="14.25" customHeight="1">
      <c r="A45" s="1"/>
      <c r="B45" s="221">
        <v>7.0</v>
      </c>
      <c r="C45" s="618" t="s">
        <v>279</v>
      </c>
      <c r="D45" s="285"/>
      <c r="E45" s="527" t="str">
        <f>IF(D45="","",VLOOKUP(D45,'10. Condition and Temporal'!$B$6:$D$103,3,FALSE))</f>
        <v/>
      </c>
      <c r="F45" s="297"/>
      <c r="G45" s="43"/>
      <c r="H45" s="298"/>
      <c r="I45" s="289"/>
      <c r="J45" s="31"/>
      <c r="K45" s="31"/>
      <c r="L45" s="531" t="str">
        <f t="shared" si="10"/>
        <v/>
      </c>
      <c r="M45" s="42"/>
      <c r="N45" s="43"/>
      <c r="O45" s="378"/>
      <c r="P45" s="300"/>
      <c r="Q45" s="1"/>
      <c r="R45" s="161"/>
      <c r="S45" s="1"/>
      <c r="T45" s="210" t="str">
        <f>IF(D45="","",VLOOKUP(D45,'9. All Habitats + Multipliers'!$C$4:$K$102,5,FALSE))</f>
        <v/>
      </c>
      <c r="U45" s="47"/>
      <c r="V45" s="211" t="str">
        <f>IF(T45="","",VLOOKUP(T45,'11. Lists'!$B$47:$D$49,2,FALSE))</f>
        <v/>
      </c>
      <c r="W45" s="214" t="str">
        <f t="shared" si="11"/>
        <v/>
      </c>
      <c r="X45" s="211" t="str">
        <f>IF(W45="","",VLOOKUP(W45,'11. Lists'!$F$47:$G$51,2,FALSE))</f>
        <v/>
      </c>
      <c r="Y45" s="364"/>
      <c r="Z45" s="365"/>
      <c r="AA45" s="366"/>
      <c r="AB45" s="214" t="str">
        <f t="shared" si="12"/>
        <v/>
      </c>
      <c r="AC45" s="215" t="str">
        <f>IF(AB45="","",VLOOKUP(AB45,'11. Lists'!$F$36:$H$38,2,FALSE))</f>
        <v/>
      </c>
      <c r="AD45" s="211" t="str">
        <f>IF(AB45="","",VLOOKUP(AB45,'11. Lists'!$F$36:$H$38,3,FALSE))</f>
        <v/>
      </c>
      <c r="AE45" s="214"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295" t="str">
        <f>IF(AE45="","",VLOOKUP(AE45,'11. Lists'!$I$47:$K$80,3,FALSE))</f>
        <v/>
      </c>
      <c r="AG45" s="214" t="str">
        <f>IF(D45="","",VLOOKUP(D45,'9. All Habitats + Multipliers'!$C$4:$K$102,7,FALSE))</f>
        <v/>
      </c>
      <c r="AH45" s="211" t="str">
        <f>IF(AG45="","",VLOOKUP(AG45,'11. Lists'!$J$35:$K$38,2,FALSE))</f>
        <v/>
      </c>
      <c r="AI45" s="642" t="s">
        <v>280</v>
      </c>
      <c r="AJ45" s="10"/>
      <c r="AK45" s="10"/>
      <c r="AL45" s="10"/>
      <c r="AM45" s="10"/>
      <c r="AN45" s="10"/>
      <c r="AO45" s="1"/>
      <c r="AP45" s="1"/>
      <c r="AQ45" s="1"/>
      <c r="AR45" s="10"/>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row>
    <row r="46" ht="14.25" customHeight="1">
      <c r="A46" s="1"/>
      <c r="B46" s="221">
        <v>8.0</v>
      </c>
      <c r="C46" s="618" t="s">
        <v>279</v>
      </c>
      <c r="D46" s="285"/>
      <c r="E46" s="527" t="str">
        <f>IF(D46="","",VLOOKUP(D46,'10. Condition and Temporal'!$B$6:$D$103,3,FALSE))</f>
        <v/>
      </c>
      <c r="F46" s="297"/>
      <c r="G46" s="43"/>
      <c r="H46" s="298"/>
      <c r="I46" s="289"/>
      <c r="J46" s="31"/>
      <c r="K46" s="31"/>
      <c r="L46" s="531" t="str">
        <f t="shared" si="10"/>
        <v/>
      </c>
      <c r="M46" s="42"/>
      <c r="N46" s="43"/>
      <c r="O46" s="378"/>
      <c r="P46" s="300"/>
      <c r="Q46" s="1"/>
      <c r="R46" s="161"/>
      <c r="S46" s="1"/>
      <c r="T46" s="210" t="str">
        <f>IF(D46="","",VLOOKUP(D46,'9. All Habitats + Multipliers'!$C$4:$K$102,5,FALSE))</f>
        <v/>
      </c>
      <c r="U46" s="47"/>
      <c r="V46" s="211" t="str">
        <f>IF(T46="","",VLOOKUP(T46,'11. Lists'!$B$47:$D$49,2,FALSE))</f>
        <v/>
      </c>
      <c r="W46" s="214" t="str">
        <f t="shared" si="11"/>
        <v/>
      </c>
      <c r="X46" s="211" t="str">
        <f>IF(W46="","",VLOOKUP(W46,'11. Lists'!$F$47:$G$51,2,FALSE))</f>
        <v/>
      </c>
      <c r="Y46" s="364"/>
      <c r="Z46" s="365"/>
      <c r="AA46" s="366"/>
      <c r="AB46" s="214" t="str">
        <f t="shared" si="12"/>
        <v/>
      </c>
      <c r="AC46" s="215" t="str">
        <f>IF(AB46="","",VLOOKUP(AB46,'11. Lists'!$F$36:$H$38,2,FALSE))</f>
        <v/>
      </c>
      <c r="AD46" s="211" t="str">
        <f>IF(AB46="","",VLOOKUP(AB46,'11. Lists'!$F$36:$H$38,3,FALSE))</f>
        <v/>
      </c>
      <c r="AE46" s="214"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295" t="str">
        <f>IF(AE46="","",VLOOKUP(AE46,'11. Lists'!$I$47:$K$80,3,FALSE))</f>
        <v/>
      </c>
      <c r="AG46" s="214" t="str">
        <f>IF(D46="","",VLOOKUP(D46,'9. All Habitats + Multipliers'!$C$4:$K$102,7,FALSE))</f>
        <v/>
      </c>
      <c r="AH46" s="211" t="str">
        <f>IF(AG46="","",VLOOKUP(AG46,'11. Lists'!$J$35:$K$38,2,FALSE))</f>
        <v/>
      </c>
      <c r="AI46" s="642" t="s">
        <v>280</v>
      </c>
      <c r="AJ46" s="10"/>
      <c r="AK46" s="10"/>
      <c r="AL46" s="10"/>
      <c r="AM46" s="10"/>
      <c r="AN46" s="10"/>
      <c r="AO46" s="1"/>
      <c r="AP46" s="1"/>
      <c r="AQ46" s="1"/>
      <c r="AR46" s="10"/>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row>
    <row r="47" ht="14.25" customHeight="1">
      <c r="A47" s="1"/>
      <c r="B47" s="221">
        <v>9.0</v>
      </c>
      <c r="C47" s="618" t="s">
        <v>279</v>
      </c>
      <c r="D47" s="285"/>
      <c r="E47" s="527" t="str">
        <f>IF(D47="","",VLOOKUP(D47,'10. Condition and Temporal'!$B$6:$D$103,3,FALSE))</f>
        <v/>
      </c>
      <c r="F47" s="297"/>
      <c r="G47" s="43"/>
      <c r="H47" s="298"/>
      <c r="I47" s="289"/>
      <c r="J47" s="31"/>
      <c r="K47" s="31"/>
      <c r="L47" s="531" t="str">
        <f t="shared" si="10"/>
        <v/>
      </c>
      <c r="M47" s="42"/>
      <c r="N47" s="43"/>
      <c r="O47" s="378"/>
      <c r="P47" s="300"/>
      <c r="Q47" s="1"/>
      <c r="R47" s="161"/>
      <c r="S47" s="1"/>
      <c r="T47" s="210" t="str">
        <f>IF(D47="","",VLOOKUP(D47,'9. All Habitats + Multipliers'!$C$4:$K$102,5,FALSE))</f>
        <v/>
      </c>
      <c r="U47" s="47"/>
      <c r="V47" s="211" t="str">
        <f>IF(T47="","",VLOOKUP(T47,'11. Lists'!$B$47:$D$49,2,FALSE))</f>
        <v/>
      </c>
      <c r="W47" s="214" t="str">
        <f t="shared" si="11"/>
        <v/>
      </c>
      <c r="X47" s="211" t="str">
        <f>IF(W47="","",VLOOKUP(W47,'11. Lists'!$F$47:$G$51,2,FALSE))</f>
        <v/>
      </c>
      <c r="Y47" s="364"/>
      <c r="Z47" s="365"/>
      <c r="AA47" s="366"/>
      <c r="AB47" s="214" t="str">
        <f t="shared" si="12"/>
        <v/>
      </c>
      <c r="AC47" s="215" t="str">
        <f>IF(AB47="","",VLOOKUP(AB47,'11. Lists'!$F$36:$H$38,2,FALSE))</f>
        <v/>
      </c>
      <c r="AD47" s="211" t="str">
        <f>IF(AB47="","",VLOOKUP(AB47,'11. Lists'!$F$36:$H$38,3,FALSE))</f>
        <v/>
      </c>
      <c r="AE47" s="214"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295" t="str">
        <f>IF(AE47="","",VLOOKUP(AE47,'11. Lists'!$I$47:$K$80,3,FALSE))</f>
        <v/>
      </c>
      <c r="AG47" s="214" t="str">
        <f>IF(D47="","",VLOOKUP(D47,'9. All Habitats + Multipliers'!$C$4:$K$102,7,FALSE))</f>
        <v/>
      </c>
      <c r="AH47" s="211" t="str">
        <f>IF(AG47="","",VLOOKUP(AG47,'11. Lists'!$J$35:$K$38,2,FALSE))</f>
        <v/>
      </c>
      <c r="AI47" s="642" t="s">
        <v>280</v>
      </c>
      <c r="AJ47" s="10"/>
      <c r="AK47" s="10"/>
      <c r="AL47" s="10"/>
      <c r="AM47" s="10"/>
      <c r="AN47" s="10"/>
      <c r="AO47" s="1"/>
      <c r="AP47" s="1"/>
      <c r="AQ47" s="1"/>
      <c r="AR47" s="10"/>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row>
    <row r="48" ht="14.25" customHeight="1">
      <c r="A48" s="1"/>
      <c r="B48" s="221">
        <v>10.0</v>
      </c>
      <c r="C48" s="618" t="s">
        <v>279</v>
      </c>
      <c r="D48" s="285"/>
      <c r="E48" s="527" t="str">
        <f>IF(D48="","",VLOOKUP(D48,'10. Condition and Temporal'!$B$6:$D$103,3,FALSE))</f>
        <v/>
      </c>
      <c r="F48" s="297"/>
      <c r="G48" s="43"/>
      <c r="H48" s="298"/>
      <c r="I48" s="289"/>
      <c r="J48" s="31"/>
      <c r="K48" s="31"/>
      <c r="L48" s="531" t="str">
        <f t="shared" si="10"/>
        <v/>
      </c>
      <c r="M48" s="42"/>
      <c r="N48" s="43"/>
      <c r="O48" s="378"/>
      <c r="P48" s="300"/>
      <c r="Q48" s="1"/>
      <c r="R48" s="161"/>
      <c r="S48" s="1"/>
      <c r="T48" s="210" t="str">
        <f>IF(D48="","",VLOOKUP(D48,'9. All Habitats + Multipliers'!$C$4:$K$102,5,FALSE))</f>
        <v/>
      </c>
      <c r="U48" s="47"/>
      <c r="V48" s="211" t="str">
        <f>IF(T48="","",VLOOKUP(T48,'11. Lists'!$B$47:$D$49,2,FALSE))</f>
        <v/>
      </c>
      <c r="W48" s="214" t="str">
        <f t="shared" si="11"/>
        <v/>
      </c>
      <c r="X48" s="211" t="str">
        <f>IF(W48="","",VLOOKUP(W48,'11. Lists'!$F$47:$G$51,2,FALSE))</f>
        <v/>
      </c>
      <c r="Y48" s="364"/>
      <c r="Z48" s="365"/>
      <c r="AA48" s="366"/>
      <c r="AB48" s="214" t="str">
        <f t="shared" si="12"/>
        <v/>
      </c>
      <c r="AC48" s="215" t="str">
        <f>IF(AB48="","",VLOOKUP(AB48,'11. Lists'!$F$36:$H$38,2,FALSE))</f>
        <v/>
      </c>
      <c r="AD48" s="211" t="str">
        <f>IF(AB48="","",VLOOKUP(AB48,'11. Lists'!$F$36:$H$38,3,FALSE))</f>
        <v/>
      </c>
      <c r="AE48" s="214"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295" t="str">
        <f>IF(AE48="","",VLOOKUP(AE48,'11. Lists'!$I$47:$K$80,3,FALSE))</f>
        <v/>
      </c>
      <c r="AG48" s="214" t="str">
        <f>IF(D48="","",VLOOKUP(D48,'9. All Habitats + Multipliers'!$C$4:$K$102,7,FALSE))</f>
        <v/>
      </c>
      <c r="AH48" s="211" t="str">
        <f>IF(AG48="","",VLOOKUP(AG48,'11. Lists'!$J$35:$K$38,2,FALSE))</f>
        <v/>
      </c>
      <c r="AI48" s="642" t="s">
        <v>280</v>
      </c>
      <c r="AJ48" s="10"/>
      <c r="AK48" s="10"/>
      <c r="AL48" s="10"/>
      <c r="AM48" s="10"/>
      <c r="AN48" s="10"/>
      <c r="AO48" s="1"/>
      <c r="AP48" s="1"/>
      <c r="AQ48" s="1"/>
      <c r="AR48" s="10"/>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ht="14.25" customHeight="1">
      <c r="A49" s="1"/>
      <c r="B49" s="221">
        <v>11.0</v>
      </c>
      <c r="C49" s="618" t="s">
        <v>279</v>
      </c>
      <c r="D49" s="285"/>
      <c r="E49" s="527" t="str">
        <f>IF(D49="","",VLOOKUP(D49,'10. Condition and Temporal'!$B$6:$D$103,3,FALSE))</f>
        <v/>
      </c>
      <c r="F49" s="297"/>
      <c r="G49" s="43"/>
      <c r="H49" s="298"/>
      <c r="I49" s="289"/>
      <c r="J49" s="31"/>
      <c r="K49" s="31"/>
      <c r="L49" s="531" t="str">
        <f t="shared" si="10"/>
        <v/>
      </c>
      <c r="M49" s="42"/>
      <c r="N49" s="43"/>
      <c r="O49" s="378"/>
      <c r="P49" s="300"/>
      <c r="Q49" s="1"/>
      <c r="R49" s="161"/>
      <c r="S49" s="1"/>
      <c r="T49" s="210" t="str">
        <f>IF(D49="","",VLOOKUP(D49,'9. All Habitats + Multipliers'!$C$4:$K$102,5,FALSE))</f>
        <v/>
      </c>
      <c r="U49" s="47"/>
      <c r="V49" s="211" t="str">
        <f>IF(T49="","",VLOOKUP(T49,'11. Lists'!$B$47:$D$49,2,FALSE))</f>
        <v/>
      </c>
      <c r="W49" s="214" t="str">
        <f t="shared" si="11"/>
        <v/>
      </c>
      <c r="X49" s="211" t="str">
        <f>IF(W49="","",VLOOKUP(W49,'11. Lists'!$F$47:$G$51,2,FALSE))</f>
        <v/>
      </c>
      <c r="Y49" s="364"/>
      <c r="Z49" s="365"/>
      <c r="AA49" s="366"/>
      <c r="AB49" s="214" t="str">
        <f t="shared" si="12"/>
        <v/>
      </c>
      <c r="AC49" s="215" t="str">
        <f>IF(AB49="","",VLOOKUP(AB49,'11. Lists'!$F$36:$H$38,2,FALSE))</f>
        <v/>
      </c>
      <c r="AD49" s="211" t="str">
        <f>IF(AB49="","",VLOOKUP(AB49,'11. Lists'!$F$36:$H$38,3,FALSE))</f>
        <v/>
      </c>
      <c r="AE49" s="214"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295" t="str">
        <f>IF(AE49="","",VLOOKUP(AE49,'11. Lists'!$I$47:$K$80,3,FALSE))</f>
        <v/>
      </c>
      <c r="AG49" s="214" t="str">
        <f>IF(D49="","",VLOOKUP(D49,'9. All Habitats + Multipliers'!$C$4:$K$102,7,FALSE))</f>
        <v/>
      </c>
      <c r="AH49" s="211" t="str">
        <f>IF(AG49="","",VLOOKUP(AG49,'11. Lists'!$J$35:$K$38,2,FALSE))</f>
        <v/>
      </c>
      <c r="AI49" s="642" t="s">
        <v>280</v>
      </c>
      <c r="AJ49" s="10"/>
      <c r="AK49" s="10"/>
      <c r="AL49" s="10"/>
      <c r="AM49" s="10"/>
      <c r="AN49" s="10"/>
      <c r="AO49" s="1"/>
      <c r="AP49" s="1"/>
      <c r="AQ49" s="1"/>
      <c r="AR49" s="10"/>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row>
    <row r="50" ht="14.25" customHeight="1">
      <c r="A50" s="1"/>
      <c r="B50" s="221">
        <v>12.0</v>
      </c>
      <c r="C50" s="618" t="s">
        <v>279</v>
      </c>
      <c r="D50" s="285"/>
      <c r="E50" s="527" t="str">
        <f>IF(D50="","",VLOOKUP(D50,'10. Condition and Temporal'!$B$6:$D$103,3,FALSE))</f>
        <v/>
      </c>
      <c r="F50" s="297"/>
      <c r="G50" s="43"/>
      <c r="H50" s="298"/>
      <c r="I50" s="289"/>
      <c r="J50" s="31"/>
      <c r="K50" s="31"/>
      <c r="L50" s="531" t="str">
        <f t="shared" si="10"/>
        <v/>
      </c>
      <c r="M50" s="42"/>
      <c r="N50" s="43"/>
      <c r="O50" s="378"/>
      <c r="P50" s="300"/>
      <c r="Q50" s="1"/>
      <c r="R50" s="161"/>
      <c r="S50" s="1"/>
      <c r="T50" s="210" t="str">
        <f>IF(D50="","",VLOOKUP(D50,'9. All Habitats + Multipliers'!$C$4:$K$102,5,FALSE))</f>
        <v/>
      </c>
      <c r="U50" s="47"/>
      <c r="V50" s="211" t="str">
        <f>IF(T50="","",VLOOKUP(T50,'11. Lists'!$B$47:$D$49,2,FALSE))</f>
        <v/>
      </c>
      <c r="W50" s="214" t="str">
        <f t="shared" si="11"/>
        <v/>
      </c>
      <c r="X50" s="211" t="str">
        <f>IF(W50="","",VLOOKUP(W50,'11. Lists'!$F$47:$G$51,2,FALSE))</f>
        <v/>
      </c>
      <c r="Y50" s="364"/>
      <c r="Z50" s="365"/>
      <c r="AA50" s="366"/>
      <c r="AB50" s="214" t="str">
        <f t="shared" si="12"/>
        <v/>
      </c>
      <c r="AC50" s="215" t="str">
        <f>IF(AB50="","",VLOOKUP(AB50,'11. Lists'!$F$36:$H$38,2,FALSE))</f>
        <v/>
      </c>
      <c r="AD50" s="211" t="str">
        <f>IF(AB50="","",VLOOKUP(AB50,'11. Lists'!$F$36:$H$38,3,FALSE))</f>
        <v/>
      </c>
      <c r="AE50" s="214"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295" t="str">
        <f>IF(AE50="","",VLOOKUP(AE50,'11. Lists'!$I$47:$K$80,3,FALSE))</f>
        <v/>
      </c>
      <c r="AG50" s="214" t="str">
        <f>IF(D50="","",VLOOKUP(D50,'9. All Habitats + Multipliers'!$C$4:$K$102,7,FALSE))</f>
        <v/>
      </c>
      <c r="AH50" s="211" t="str">
        <f>IF(AG50="","",VLOOKUP(AG50,'11. Lists'!$J$35:$K$38,2,FALSE))</f>
        <v/>
      </c>
      <c r="AI50" s="642" t="s">
        <v>280</v>
      </c>
      <c r="AJ50" s="10"/>
      <c r="AK50" s="10"/>
      <c r="AL50" s="10"/>
      <c r="AM50" s="10"/>
      <c r="AN50" s="10"/>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row>
    <row r="51" ht="14.25" customHeight="1">
      <c r="A51" s="1"/>
      <c r="B51" s="221">
        <v>13.0</v>
      </c>
      <c r="C51" s="618" t="s">
        <v>279</v>
      </c>
      <c r="D51" s="285"/>
      <c r="E51" s="527" t="str">
        <f>IF(D51="","",VLOOKUP(D51,'10. Condition and Temporal'!$B$6:$D$103,3,FALSE))</f>
        <v/>
      </c>
      <c r="F51" s="297"/>
      <c r="G51" s="43"/>
      <c r="H51" s="298"/>
      <c r="I51" s="289"/>
      <c r="J51" s="31"/>
      <c r="K51" s="31"/>
      <c r="L51" s="531" t="str">
        <f t="shared" si="10"/>
        <v/>
      </c>
      <c r="M51" s="42"/>
      <c r="N51" s="43"/>
      <c r="O51" s="378"/>
      <c r="P51" s="300"/>
      <c r="Q51" s="1"/>
      <c r="R51" s="161"/>
      <c r="S51" s="1"/>
      <c r="T51" s="210" t="str">
        <f>IF(D51="","",VLOOKUP(D51,'9. All Habitats + Multipliers'!$C$4:$K$102,5,FALSE))</f>
        <v/>
      </c>
      <c r="U51" s="47"/>
      <c r="V51" s="211" t="str">
        <f>IF(T51="","",VLOOKUP(T51,'11. Lists'!$B$47:$D$49,2,FALSE))</f>
        <v/>
      </c>
      <c r="W51" s="214" t="str">
        <f t="shared" si="11"/>
        <v/>
      </c>
      <c r="X51" s="211" t="str">
        <f>IF(W51="","",VLOOKUP(W51,'11. Lists'!$F$47:$G$51,2,FALSE))</f>
        <v/>
      </c>
      <c r="Y51" s="364"/>
      <c r="Z51" s="365"/>
      <c r="AA51" s="366"/>
      <c r="AB51" s="214" t="str">
        <f t="shared" si="12"/>
        <v/>
      </c>
      <c r="AC51" s="215" t="str">
        <f>IF(AB51="","",VLOOKUP(AB51,'11. Lists'!$F$36:$H$38,2,FALSE))</f>
        <v/>
      </c>
      <c r="AD51" s="211" t="str">
        <f>IF(AB51="","",VLOOKUP(AB51,'11. Lists'!$F$36:$H$38,3,FALSE))</f>
        <v/>
      </c>
      <c r="AE51" s="214"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295" t="str">
        <f>IF(AE51="","",VLOOKUP(AE51,'11. Lists'!$I$47:$K$80,3,FALSE))</f>
        <v/>
      </c>
      <c r="AG51" s="214" t="str">
        <f>IF(D51="","",VLOOKUP(D51,'9. All Habitats + Multipliers'!$C$4:$K$102,7,FALSE))</f>
        <v/>
      </c>
      <c r="AH51" s="211" t="str">
        <f>IF(AG51="","",VLOOKUP(AG51,'11. Lists'!$J$35:$K$38,2,FALSE))</f>
        <v/>
      </c>
      <c r="AI51" s="642" t="s">
        <v>280</v>
      </c>
      <c r="AJ51" s="10"/>
      <c r="AK51" s="10"/>
      <c r="AL51" s="10"/>
      <c r="AM51" s="10"/>
      <c r="AN51" s="10"/>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row>
    <row r="52" ht="14.25" customHeight="1">
      <c r="A52" s="1"/>
      <c r="B52" s="221">
        <v>14.0</v>
      </c>
      <c r="C52" s="618" t="s">
        <v>279</v>
      </c>
      <c r="D52" s="285"/>
      <c r="E52" s="527" t="str">
        <f>IF(D52="","",VLOOKUP(D52,'10. Condition and Temporal'!$B$6:$D$103,3,FALSE))</f>
        <v/>
      </c>
      <c r="F52" s="297"/>
      <c r="G52" s="43"/>
      <c r="H52" s="298"/>
      <c r="I52" s="289"/>
      <c r="J52" s="31"/>
      <c r="K52" s="31"/>
      <c r="L52" s="531" t="str">
        <f t="shared" si="10"/>
        <v/>
      </c>
      <c r="M52" s="42"/>
      <c r="N52" s="43"/>
      <c r="O52" s="378"/>
      <c r="P52" s="300"/>
      <c r="Q52" s="1"/>
      <c r="R52" s="161"/>
      <c r="S52" s="1"/>
      <c r="T52" s="210" t="str">
        <f>IF(D52="","",VLOOKUP(D52,'9. All Habitats + Multipliers'!$C$4:$K$102,5,FALSE))</f>
        <v/>
      </c>
      <c r="U52" s="47"/>
      <c r="V52" s="211" t="str">
        <f>IF(T52="","",VLOOKUP(T52,'11. Lists'!$B$47:$D$49,2,FALSE))</f>
        <v/>
      </c>
      <c r="W52" s="214" t="str">
        <f t="shared" si="11"/>
        <v/>
      </c>
      <c r="X52" s="211" t="str">
        <f>IF(W52="","",VLOOKUP(W52,'11. Lists'!$F$47:$G$51,2,FALSE))</f>
        <v/>
      </c>
      <c r="Y52" s="364"/>
      <c r="Z52" s="365"/>
      <c r="AA52" s="366"/>
      <c r="AB52" s="214" t="str">
        <f t="shared" si="12"/>
        <v/>
      </c>
      <c r="AC52" s="215" t="str">
        <f>IF(AB52="","",VLOOKUP(AB52,'11. Lists'!$F$36:$H$38,2,FALSE))</f>
        <v/>
      </c>
      <c r="AD52" s="211" t="str">
        <f>IF(AB52="","",VLOOKUP(AB52,'11. Lists'!$F$36:$H$38,3,FALSE))</f>
        <v/>
      </c>
      <c r="AE52" s="214"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295" t="str">
        <f>IF(AE52="","",VLOOKUP(AE52,'11. Lists'!$I$47:$K$80,3,FALSE))</f>
        <v/>
      </c>
      <c r="AG52" s="214" t="str">
        <f>IF(D52="","",VLOOKUP(D52,'9. All Habitats + Multipliers'!$C$4:$K$102,7,FALSE))</f>
        <v/>
      </c>
      <c r="AH52" s="211" t="str">
        <f>IF(AG52="","",VLOOKUP(AG52,'11. Lists'!$J$35:$K$38,2,FALSE))</f>
        <v/>
      </c>
      <c r="AI52" s="642" t="s">
        <v>280</v>
      </c>
      <c r="AJ52" s="10"/>
      <c r="AK52" s="10"/>
      <c r="AL52" s="10"/>
      <c r="AM52" s="10"/>
      <c r="AN52" s="10"/>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row>
    <row r="53" ht="14.25" customHeight="1">
      <c r="A53" s="1"/>
      <c r="B53" s="221">
        <v>15.0</v>
      </c>
      <c r="C53" s="618" t="s">
        <v>279</v>
      </c>
      <c r="D53" s="285"/>
      <c r="E53" s="527" t="str">
        <f>IF(D53="","",VLOOKUP(D53,'10. Condition and Temporal'!$B$6:$D$103,3,FALSE))</f>
        <v/>
      </c>
      <c r="F53" s="297"/>
      <c r="G53" s="43"/>
      <c r="H53" s="298"/>
      <c r="I53" s="289"/>
      <c r="J53" s="31"/>
      <c r="K53" s="31"/>
      <c r="L53" s="531" t="str">
        <f t="shared" si="10"/>
        <v/>
      </c>
      <c r="M53" s="42"/>
      <c r="N53" s="43"/>
      <c r="O53" s="378"/>
      <c r="P53" s="300"/>
      <c r="Q53" s="1"/>
      <c r="R53" s="161"/>
      <c r="S53" s="1"/>
      <c r="T53" s="210" t="str">
        <f>IF(D53="","",VLOOKUP(D53,'9. All Habitats + Multipliers'!$C$4:$K$102,5,FALSE))</f>
        <v/>
      </c>
      <c r="U53" s="47"/>
      <c r="V53" s="211" t="str">
        <f>IF(T53="","",VLOOKUP(T53,'11. Lists'!$B$47:$D$49,2,FALSE))</f>
        <v/>
      </c>
      <c r="W53" s="214" t="str">
        <f t="shared" si="11"/>
        <v/>
      </c>
      <c r="X53" s="211" t="str">
        <f>IF(W53="","",VLOOKUP(W53,'11. Lists'!$F$47:$G$51,2,FALSE))</f>
        <v/>
      </c>
      <c r="Y53" s="364"/>
      <c r="Z53" s="365"/>
      <c r="AA53" s="366"/>
      <c r="AB53" s="214" t="str">
        <f t="shared" si="12"/>
        <v/>
      </c>
      <c r="AC53" s="215" t="str">
        <f>IF(AB53="","",VLOOKUP(AB53,'11. Lists'!$F$36:$H$38,2,FALSE))</f>
        <v/>
      </c>
      <c r="AD53" s="211" t="str">
        <f>IF(AB53="","",VLOOKUP(AB53,'11. Lists'!$F$36:$H$38,3,FALSE))</f>
        <v/>
      </c>
      <c r="AE53" s="214"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295" t="str">
        <f>IF(AE53="","",VLOOKUP(AE53,'11. Lists'!$I$47:$K$80,3,FALSE))</f>
        <v/>
      </c>
      <c r="AG53" s="214" t="str">
        <f>IF(D53="","",VLOOKUP(D53,'9. All Habitats + Multipliers'!$C$4:$K$102,7,FALSE))</f>
        <v/>
      </c>
      <c r="AH53" s="211" t="str">
        <f>IF(AG53="","",VLOOKUP(AG53,'11. Lists'!$J$35:$K$38,2,FALSE))</f>
        <v/>
      </c>
      <c r="AI53" s="642" t="s">
        <v>280</v>
      </c>
      <c r="AJ53" s="10"/>
      <c r="AK53" s="10"/>
      <c r="AL53" s="10"/>
      <c r="AM53" s="10"/>
      <c r="AN53" s="10"/>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ht="14.25" customHeight="1">
      <c r="A54" s="1"/>
      <c r="B54" s="221">
        <v>16.0</v>
      </c>
      <c r="C54" s="618" t="s">
        <v>279</v>
      </c>
      <c r="D54" s="285"/>
      <c r="E54" s="527" t="str">
        <f>IF(D54="","",VLOOKUP(D54,'10. Condition and Temporal'!$B$6:$D$103,3,FALSE))</f>
        <v/>
      </c>
      <c r="F54" s="297"/>
      <c r="G54" s="43"/>
      <c r="H54" s="298"/>
      <c r="I54" s="289"/>
      <c r="J54" s="31"/>
      <c r="K54" s="31"/>
      <c r="L54" s="531" t="str">
        <f t="shared" si="10"/>
        <v/>
      </c>
      <c r="M54" s="42"/>
      <c r="N54" s="43"/>
      <c r="O54" s="378"/>
      <c r="P54" s="300"/>
      <c r="Q54" s="1"/>
      <c r="R54" s="161"/>
      <c r="S54" s="1"/>
      <c r="T54" s="210" t="str">
        <f>IF(D54="","",VLOOKUP(D54,'9. All Habitats + Multipliers'!$C$4:$K$102,5,FALSE))</f>
        <v/>
      </c>
      <c r="U54" s="47"/>
      <c r="V54" s="211" t="str">
        <f>IF(T54="","",VLOOKUP(T54,'11. Lists'!$B$47:$D$49,2,FALSE))</f>
        <v/>
      </c>
      <c r="W54" s="214" t="str">
        <f t="shared" si="11"/>
        <v/>
      </c>
      <c r="X54" s="211" t="str">
        <f>IF(W54="","",VLOOKUP(W54,'11. Lists'!$F$47:$G$51,2,FALSE))</f>
        <v/>
      </c>
      <c r="Y54" s="364"/>
      <c r="Z54" s="365"/>
      <c r="AA54" s="366"/>
      <c r="AB54" s="214" t="str">
        <f t="shared" si="12"/>
        <v/>
      </c>
      <c r="AC54" s="215" t="str">
        <f>IF(AB54="","",VLOOKUP(AB54,'11. Lists'!$F$36:$H$38,2,FALSE))</f>
        <v/>
      </c>
      <c r="AD54" s="211" t="str">
        <f>IF(AB54="","",VLOOKUP(AB54,'11. Lists'!$F$36:$H$38,3,FALSE))</f>
        <v/>
      </c>
      <c r="AE54" s="214"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295" t="str">
        <f>IF(AE54="","",VLOOKUP(AE54,'11. Lists'!$I$47:$K$80,3,FALSE))</f>
        <v/>
      </c>
      <c r="AG54" s="214" t="str">
        <f>IF(D54="","",VLOOKUP(D54,'9. All Habitats + Multipliers'!$C$4:$K$102,7,FALSE))</f>
        <v/>
      </c>
      <c r="AH54" s="211" t="str">
        <f>IF(AG54="","",VLOOKUP(AG54,'11. Lists'!$J$35:$K$38,2,FALSE))</f>
        <v/>
      </c>
      <c r="AI54" s="642" t="s">
        <v>280</v>
      </c>
      <c r="AJ54" s="10"/>
      <c r="AK54" s="10"/>
      <c r="AL54" s="10"/>
      <c r="AM54" s="10"/>
      <c r="AN54" s="10"/>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ht="14.25" customHeight="1">
      <c r="A55" s="1"/>
      <c r="B55" s="221">
        <v>17.0</v>
      </c>
      <c r="C55" s="618" t="s">
        <v>279</v>
      </c>
      <c r="D55" s="285"/>
      <c r="E55" s="527" t="str">
        <f>IF(D55="","",VLOOKUP(D55,'10. Condition and Temporal'!$B$6:$D$103,3,FALSE))</f>
        <v/>
      </c>
      <c r="F55" s="297"/>
      <c r="G55" s="43"/>
      <c r="H55" s="298"/>
      <c r="I55" s="289"/>
      <c r="J55" s="31"/>
      <c r="K55" s="31"/>
      <c r="L55" s="531" t="str">
        <f t="shared" si="10"/>
        <v/>
      </c>
      <c r="M55" s="42"/>
      <c r="N55" s="43"/>
      <c r="O55" s="378"/>
      <c r="P55" s="300"/>
      <c r="Q55" s="1"/>
      <c r="R55" s="161"/>
      <c r="S55" s="1"/>
      <c r="T55" s="210" t="str">
        <f>IF(D55="","",VLOOKUP(D55,'9. All Habitats + Multipliers'!$C$4:$K$102,5,FALSE))</f>
        <v/>
      </c>
      <c r="U55" s="47"/>
      <c r="V55" s="211" t="str">
        <f>IF(T55="","",VLOOKUP(T55,'11. Lists'!$B$47:$D$49,2,FALSE))</f>
        <v/>
      </c>
      <c r="W55" s="214" t="str">
        <f t="shared" si="11"/>
        <v/>
      </c>
      <c r="X55" s="211" t="str">
        <f>IF(W55="","",VLOOKUP(W55,'11. Lists'!$F$47:$G$51,2,FALSE))</f>
        <v/>
      </c>
      <c r="Y55" s="364"/>
      <c r="Z55" s="365"/>
      <c r="AA55" s="366"/>
      <c r="AB55" s="214" t="str">
        <f t="shared" si="12"/>
        <v/>
      </c>
      <c r="AC55" s="215" t="str">
        <f>IF(AB55="","",VLOOKUP(AB55,'11. Lists'!$F$36:$H$38,2,FALSE))</f>
        <v/>
      </c>
      <c r="AD55" s="211" t="str">
        <f>IF(AB55="","",VLOOKUP(AB55,'11. Lists'!$F$36:$H$38,3,FALSE))</f>
        <v/>
      </c>
      <c r="AE55" s="214"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295" t="str">
        <f>IF(AE55="","",VLOOKUP(AE55,'11. Lists'!$I$47:$K$80,3,FALSE))</f>
        <v/>
      </c>
      <c r="AG55" s="214" t="str">
        <f>IF(D55="","",VLOOKUP(D55,'9. All Habitats + Multipliers'!$C$4:$K$102,7,FALSE))</f>
        <v/>
      </c>
      <c r="AH55" s="211" t="str">
        <f>IF(AG55="","",VLOOKUP(AG55,'11. Lists'!$J$35:$K$38,2,FALSE))</f>
        <v/>
      </c>
      <c r="AI55" s="642" t="s">
        <v>280</v>
      </c>
      <c r="AJ55" s="10"/>
      <c r="AK55" s="10"/>
      <c r="AL55" s="10"/>
      <c r="AM55" s="10"/>
      <c r="AN55" s="10"/>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ht="14.25" customHeight="1">
      <c r="A56" s="1"/>
      <c r="B56" s="221">
        <v>18.0</v>
      </c>
      <c r="C56" s="618" t="s">
        <v>279</v>
      </c>
      <c r="D56" s="285"/>
      <c r="E56" s="527" t="str">
        <f>IF(D56="","",VLOOKUP(D56,'10. Condition and Temporal'!$B$6:$D$103,3,FALSE))</f>
        <v/>
      </c>
      <c r="F56" s="297"/>
      <c r="G56" s="43"/>
      <c r="H56" s="298"/>
      <c r="I56" s="289"/>
      <c r="J56" s="31"/>
      <c r="K56" s="31"/>
      <c r="L56" s="531" t="str">
        <f t="shared" si="10"/>
        <v/>
      </c>
      <c r="M56" s="42"/>
      <c r="N56" s="43"/>
      <c r="O56" s="378"/>
      <c r="P56" s="300"/>
      <c r="Q56" s="1"/>
      <c r="R56" s="161"/>
      <c r="S56" s="1"/>
      <c r="T56" s="210" t="str">
        <f>IF(D56="","",VLOOKUP(D56,'9. All Habitats + Multipliers'!$C$4:$K$102,5,FALSE))</f>
        <v/>
      </c>
      <c r="U56" s="47"/>
      <c r="V56" s="211" t="str">
        <f>IF(T56="","",VLOOKUP(T56,'11. Lists'!$B$47:$D$49,2,FALSE))</f>
        <v/>
      </c>
      <c r="W56" s="214" t="str">
        <f t="shared" si="11"/>
        <v/>
      </c>
      <c r="X56" s="211" t="str">
        <f>IF(W56="","",VLOOKUP(W56,'11. Lists'!$F$47:$G$51,2,FALSE))</f>
        <v/>
      </c>
      <c r="Y56" s="364"/>
      <c r="Z56" s="365"/>
      <c r="AA56" s="366"/>
      <c r="AB56" s="214" t="str">
        <f t="shared" si="12"/>
        <v/>
      </c>
      <c r="AC56" s="215" t="str">
        <f>IF(AB56="","",VLOOKUP(AB56,'11. Lists'!$F$36:$H$38,2,FALSE))</f>
        <v/>
      </c>
      <c r="AD56" s="211" t="str">
        <f>IF(AB56="","",VLOOKUP(AB56,'11. Lists'!$F$36:$H$38,3,FALSE))</f>
        <v/>
      </c>
      <c r="AE56" s="214"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295" t="str">
        <f>IF(AE56="","",VLOOKUP(AE56,'11. Lists'!$I$47:$K$80,3,FALSE))</f>
        <v/>
      </c>
      <c r="AG56" s="214" t="str">
        <f>IF(D56="","",VLOOKUP(D56,'9. All Habitats + Multipliers'!$C$4:$K$102,7,FALSE))</f>
        <v/>
      </c>
      <c r="AH56" s="211" t="str">
        <f>IF(AG56="","",VLOOKUP(AG56,'11. Lists'!$J$35:$K$38,2,FALSE))</f>
        <v/>
      </c>
      <c r="AI56" s="642" t="s">
        <v>280</v>
      </c>
      <c r="AJ56" s="10"/>
      <c r="AK56" s="10"/>
      <c r="AL56" s="10"/>
      <c r="AM56" s="10"/>
      <c r="AN56" s="10"/>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ht="14.25" customHeight="1">
      <c r="A57" s="1"/>
      <c r="B57" s="221">
        <v>19.0</v>
      </c>
      <c r="C57" s="618" t="s">
        <v>279</v>
      </c>
      <c r="D57" s="285"/>
      <c r="E57" s="527" t="str">
        <f>IF(D57="","",VLOOKUP(D57,'10. Condition and Temporal'!$B$6:$D$103,3,FALSE))</f>
        <v/>
      </c>
      <c r="F57" s="297"/>
      <c r="G57" s="43"/>
      <c r="H57" s="298"/>
      <c r="I57" s="289"/>
      <c r="J57" s="31"/>
      <c r="K57" s="31"/>
      <c r="L57" s="531" t="str">
        <f t="shared" si="10"/>
        <v/>
      </c>
      <c r="M57" s="42"/>
      <c r="N57" s="43"/>
      <c r="O57" s="378"/>
      <c r="P57" s="300"/>
      <c r="Q57" s="1"/>
      <c r="R57" s="161"/>
      <c r="S57" s="1"/>
      <c r="T57" s="210" t="str">
        <f>IF(D57="","",VLOOKUP(D57,'9. All Habitats + Multipliers'!$C$4:$K$102,5,FALSE))</f>
        <v/>
      </c>
      <c r="U57" s="47"/>
      <c r="V57" s="211" t="str">
        <f>IF(T57="","",VLOOKUP(T57,'11. Lists'!$B$47:$D$49,2,FALSE))</f>
        <v/>
      </c>
      <c r="W57" s="214" t="str">
        <f t="shared" si="11"/>
        <v/>
      </c>
      <c r="X57" s="211" t="str">
        <f>IF(W57="","",VLOOKUP(W57,'11. Lists'!$F$47:$G$51,2,FALSE))</f>
        <v/>
      </c>
      <c r="Y57" s="364"/>
      <c r="Z57" s="365"/>
      <c r="AA57" s="366"/>
      <c r="AB57" s="214" t="str">
        <f t="shared" si="12"/>
        <v/>
      </c>
      <c r="AC57" s="215" t="str">
        <f>IF(AB57="","",VLOOKUP(AB57,'11. Lists'!$F$36:$H$38,2,FALSE))</f>
        <v/>
      </c>
      <c r="AD57" s="211" t="str">
        <f>IF(AB57="","",VLOOKUP(AB57,'11. Lists'!$F$36:$H$38,3,FALSE))</f>
        <v/>
      </c>
      <c r="AE57" s="214"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295" t="str">
        <f>IF(AE57="","",VLOOKUP(AE57,'11. Lists'!$I$47:$K$80,3,FALSE))</f>
        <v/>
      </c>
      <c r="AG57" s="214" t="str">
        <f>IF(D57="","",VLOOKUP(D57,'9. All Habitats + Multipliers'!$C$4:$K$102,7,FALSE))</f>
        <v/>
      </c>
      <c r="AH57" s="211" t="str">
        <f>IF(AG57="","",VLOOKUP(AG57,'11. Lists'!$J$35:$K$38,2,FALSE))</f>
        <v/>
      </c>
      <c r="AI57" s="642" t="s">
        <v>280</v>
      </c>
      <c r="AJ57" s="10"/>
      <c r="AK57" s="10"/>
      <c r="AL57" s="10"/>
      <c r="AM57" s="10"/>
      <c r="AN57" s="10"/>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ht="14.25" customHeight="1">
      <c r="A58" s="1"/>
      <c r="B58" s="231">
        <v>20.0</v>
      </c>
      <c r="C58" s="621" t="s">
        <v>279</v>
      </c>
      <c r="D58" s="532"/>
      <c r="E58" s="533" t="str">
        <f>IF(D58="","",VLOOKUP(D58,'10. Condition and Temporal'!$B$6:$D$103,3,FALSE))</f>
        <v/>
      </c>
      <c r="F58" s="643"/>
      <c r="G58" s="54"/>
      <c r="H58" s="644"/>
      <c r="I58" s="645"/>
      <c r="J58" s="171"/>
      <c r="K58" s="171"/>
      <c r="L58" s="536" t="str">
        <f t="shared" si="10"/>
        <v/>
      </c>
      <c r="M58" s="53"/>
      <c r="N58" s="54"/>
      <c r="O58" s="394"/>
      <c r="P58" s="249"/>
      <c r="Q58" s="1"/>
      <c r="R58" s="161"/>
      <c r="S58" s="1"/>
      <c r="T58" s="250" t="str">
        <f>IF(D58="","",VLOOKUP(D58,'9. All Habitats + Multipliers'!$C$4:$K$102,5,FALSE))</f>
        <v/>
      </c>
      <c r="U58" s="51"/>
      <c r="V58" s="251" t="str">
        <f>IF(T58="","",VLOOKUP(T58,'11. Lists'!$B$47:$D$49,2,FALSE))</f>
        <v/>
      </c>
      <c r="W58" s="253" t="str">
        <f t="shared" si="11"/>
        <v/>
      </c>
      <c r="X58" s="251" t="str">
        <f>IF(W58="","",VLOOKUP(W58,'11. Lists'!$F$47:$G$51,2,FALSE))</f>
        <v/>
      </c>
      <c r="Y58" s="364"/>
      <c r="Z58" s="365"/>
      <c r="AA58" s="366"/>
      <c r="AB58" s="253" t="str">
        <f t="shared" si="12"/>
        <v/>
      </c>
      <c r="AC58" s="254" t="str">
        <f>IF(AB58="","",VLOOKUP(AB58,'11. Lists'!$F$36:$H$38,2,FALSE))</f>
        <v/>
      </c>
      <c r="AD58" s="251" t="str">
        <f>IF(AB58="","",VLOOKUP(AB58,'11. Lists'!$F$36:$H$38,3,FALSE))</f>
        <v/>
      </c>
      <c r="AE58" s="25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316" t="str">
        <f>IF(AE58="","",VLOOKUP(AE58,'11. Lists'!$I$47:$K$80,3,FALSE))</f>
        <v/>
      </c>
      <c r="AG58" s="253" t="str">
        <f>IF(D58="","",VLOOKUP(D58,'9. All Habitats + Multipliers'!$C$4:$K$102,7,FALSE))</f>
        <v/>
      </c>
      <c r="AH58" s="251" t="str">
        <f>IF(AG58="","",VLOOKUP(AG58,'11. Lists'!$J$35:$K$38,2,FALSE))</f>
        <v/>
      </c>
      <c r="AI58" s="646" t="s">
        <v>280</v>
      </c>
      <c r="AJ58" s="10"/>
      <c r="AK58" s="10"/>
      <c r="AL58" s="10"/>
      <c r="AM58" s="10"/>
      <c r="AN58" s="10"/>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ht="14.25" customHeight="1">
      <c r="A59" s="1"/>
      <c r="B59" s="1"/>
      <c r="C59" s="1"/>
      <c r="D59" s="1"/>
      <c r="E59" s="1"/>
      <c r="F59" s="1"/>
      <c r="G59" s="1"/>
      <c r="H59" s="537" t="s">
        <v>256</v>
      </c>
      <c r="I59" s="317">
        <f>SUM(I39:K58)</f>
        <v>0</v>
      </c>
      <c r="J59" s="241"/>
      <c r="K59" s="239"/>
      <c r="L59" s="538">
        <f>SUM(L39:N58)</f>
        <v>0</v>
      </c>
      <c r="M59" s="539"/>
      <c r="N59" s="393"/>
      <c r="O59" s="1"/>
      <c r="P59" s="1"/>
      <c r="Q59" s="1"/>
      <c r="R59" s="161"/>
      <c r="S59" s="1"/>
      <c r="T59" s="1"/>
      <c r="U59" s="1"/>
      <c r="V59" s="1"/>
      <c r="W59" s="1"/>
      <c r="X59" s="1"/>
      <c r="Y59" s="1"/>
      <c r="Z59" s="1"/>
      <c r="AA59" s="1"/>
      <c r="AB59" s="1"/>
      <c r="AC59" s="1"/>
      <c r="AD59" s="1"/>
      <c r="AE59" s="1"/>
      <c r="AF59" s="1"/>
      <c r="AG59" s="1"/>
      <c r="AH59" s="1"/>
      <c r="AI59" s="1"/>
      <c r="AJ59" s="10"/>
      <c r="AK59" s="10"/>
      <c r="AL59" s="10"/>
      <c r="AM59" s="10"/>
      <c r="AN59" s="10"/>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ht="14.25" customHeight="1">
      <c r="A60" s="1"/>
      <c r="B60" s="1"/>
      <c r="C60" s="1"/>
      <c r="D60" s="1"/>
      <c r="E60" s="1"/>
      <c r="F60" s="1"/>
      <c r="G60" s="1"/>
      <c r="H60" s="1"/>
      <c r="I60" s="1"/>
      <c r="J60" s="1"/>
      <c r="K60" s="1"/>
      <c r="L60" s="1"/>
      <c r="M60" s="1"/>
      <c r="N60" s="1"/>
      <c r="O60" s="1"/>
      <c r="P60" s="1"/>
      <c r="Q60" s="1"/>
      <c r="R60" s="161"/>
      <c r="S60" s="1"/>
      <c r="T60" s="1"/>
      <c r="U60" s="1"/>
      <c r="V60" s="1"/>
      <c r="W60" s="1"/>
      <c r="X60" s="1"/>
      <c r="Y60" s="1"/>
      <c r="Z60" s="1"/>
      <c r="AA60" s="1"/>
      <c r="AB60" s="1"/>
      <c r="AC60" s="1"/>
      <c r="AD60" s="1"/>
      <c r="AE60" s="1"/>
      <c r="AF60" s="1"/>
      <c r="AG60" s="1"/>
      <c r="AH60" s="1"/>
      <c r="AI60" s="1"/>
      <c r="AJ60" s="10"/>
      <c r="AK60" s="10"/>
      <c r="AL60" s="10"/>
      <c r="AM60" s="10"/>
      <c r="AN60" s="10"/>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row>
    <row r="61" ht="14.25" customHeight="1">
      <c r="A61" s="1"/>
      <c r="B61" s="1"/>
      <c r="C61" s="1"/>
      <c r="D61" s="1"/>
      <c r="E61" s="1"/>
      <c r="F61" s="1"/>
      <c r="G61" s="1"/>
      <c r="H61" s="1"/>
      <c r="I61" s="1"/>
      <c r="J61" s="1"/>
      <c r="K61" s="1"/>
      <c r="L61" s="1"/>
      <c r="M61" s="1"/>
      <c r="N61" s="1"/>
      <c r="O61" s="1"/>
      <c r="P61" s="1"/>
      <c r="Q61" s="1"/>
      <c r="R61" s="161"/>
      <c r="S61" s="1"/>
      <c r="T61" s="1"/>
      <c r="U61" s="1"/>
      <c r="V61" s="1"/>
      <c r="W61" s="1"/>
      <c r="X61" s="1"/>
      <c r="Y61" s="1"/>
      <c r="Z61" s="1"/>
      <c r="AA61" s="1"/>
      <c r="AB61" s="1"/>
      <c r="AC61" s="1"/>
      <c r="AD61" s="1"/>
      <c r="AE61" s="1"/>
      <c r="AF61" s="1"/>
      <c r="AG61" s="1"/>
      <c r="AH61" s="1"/>
      <c r="AI61" s="1"/>
      <c r="AJ61" s="10"/>
      <c r="AK61" s="10"/>
      <c r="AL61" s="10"/>
      <c r="AM61" s="10"/>
      <c r="AN61" s="10"/>
      <c r="AO61" s="1"/>
      <c r="AP61" s="1"/>
      <c r="AQ61" s="1"/>
      <c r="AR61" s="1"/>
      <c r="AS61" s="1"/>
      <c r="AT61" s="1"/>
      <c r="AU61" s="1"/>
      <c r="AV61" s="1"/>
      <c r="AW61" s="1"/>
      <c r="AX61" s="1"/>
      <c r="AY61" s="1"/>
      <c r="AZ61" s="1"/>
      <c r="BA61" s="322" t="s">
        <v>146</v>
      </c>
      <c r="BB61" s="1"/>
      <c r="BC61" s="1"/>
      <c r="BD61" s="1"/>
      <c r="BE61" s="1"/>
      <c r="BF61" s="1"/>
      <c r="BG61" s="1"/>
      <c r="BH61" s="1"/>
      <c r="BI61" s="1"/>
      <c r="BJ61" s="1"/>
      <c r="BK61" s="1"/>
      <c r="BL61" s="1"/>
      <c r="BM61" s="1"/>
      <c r="BN61" s="1"/>
      <c r="BO61" s="1"/>
      <c r="BP61" s="1"/>
      <c r="BQ61" s="1"/>
      <c r="BR61" s="1"/>
      <c r="BS61" s="1"/>
      <c r="BT61" s="1"/>
      <c r="BU61" s="1"/>
      <c r="BV61" s="1"/>
      <c r="BW61" s="1"/>
      <c r="BX61" s="1"/>
    </row>
    <row r="62" ht="14.25" customHeight="1">
      <c r="A62" s="1"/>
      <c r="B62" s="128" t="s">
        <v>147</v>
      </c>
      <c r="C62" s="1"/>
      <c r="D62" s="174"/>
      <c r="E62" s="1"/>
      <c r="F62" s="1"/>
      <c r="G62" s="1"/>
      <c r="H62" s="154"/>
      <c r="I62" s="1"/>
      <c r="J62" s="1"/>
      <c r="K62" s="1"/>
      <c r="L62" s="1"/>
      <c r="M62" s="1"/>
      <c r="N62" s="1"/>
      <c r="O62" s="1"/>
      <c r="P62" s="1"/>
      <c r="Q62" s="1"/>
      <c r="R62" s="20"/>
      <c r="S62" s="1"/>
      <c r="T62" s="1"/>
      <c r="U62" s="1"/>
      <c r="V62" s="1"/>
      <c r="W62" s="1"/>
      <c r="X62" s="1"/>
      <c r="Y62" s="1"/>
      <c r="Z62" s="1"/>
      <c r="AA62" s="1"/>
      <c r="AB62" s="1"/>
      <c r="AC62" s="1"/>
      <c r="AD62" s="1"/>
      <c r="AE62" s="1"/>
      <c r="AF62" s="1"/>
      <c r="AG62" s="1"/>
      <c r="AH62" s="1"/>
      <c r="AI62" s="1"/>
      <c r="AJ62" s="10"/>
      <c r="AK62" s="10"/>
      <c r="AL62" s="10"/>
      <c r="AM62" s="10"/>
      <c r="AN62" s="10"/>
      <c r="AO62" s="1"/>
      <c r="AP62" s="1"/>
      <c r="AQ62" s="1"/>
      <c r="AR62" s="1"/>
      <c r="AS62" s="1"/>
      <c r="AT62" s="1"/>
      <c r="AU62" s="1"/>
      <c r="AV62" s="1"/>
      <c r="AW62" s="1"/>
      <c r="AX62" s="1"/>
      <c r="AY62" s="1"/>
      <c r="AZ62" s="1"/>
      <c r="BA62" s="322" t="s">
        <v>148</v>
      </c>
      <c r="BB62" s="1"/>
      <c r="BC62" s="1"/>
      <c r="BD62" s="1"/>
      <c r="BE62" s="1"/>
      <c r="BF62" s="1"/>
      <c r="BG62" s="1"/>
      <c r="BH62" s="1"/>
      <c r="BI62" s="1"/>
      <c r="BJ62" s="1"/>
      <c r="BK62" s="1"/>
      <c r="BL62" s="1"/>
      <c r="BM62" s="1"/>
      <c r="BN62" s="1"/>
      <c r="BO62" s="1"/>
      <c r="BP62" s="1"/>
      <c r="BQ62" s="1"/>
      <c r="BR62" s="1"/>
      <c r="BS62" s="1"/>
      <c r="BT62" s="1"/>
      <c r="BU62" s="1"/>
      <c r="BV62" s="1"/>
      <c r="BW62" s="1"/>
      <c r="BX62" s="1"/>
    </row>
    <row r="63" ht="14.25" customHeight="1">
      <c r="A63" s="540"/>
      <c r="B63" s="1"/>
      <c r="C63" s="1"/>
      <c r="D63" s="1"/>
      <c r="E63" s="1"/>
      <c r="F63" s="1"/>
      <c r="G63" s="1"/>
      <c r="H63" s="1"/>
      <c r="I63" s="1"/>
      <c r="J63" s="1"/>
      <c r="K63" s="1"/>
      <c r="L63" s="1"/>
      <c r="M63" s="1"/>
      <c r="N63" s="1"/>
      <c r="O63" s="1"/>
      <c r="P63" s="1"/>
      <c r="Q63" s="1"/>
      <c r="R63" s="153"/>
      <c r="S63" s="1"/>
      <c r="T63" s="1"/>
      <c r="U63" s="1"/>
      <c r="V63" s="1"/>
      <c r="W63" s="1"/>
      <c r="X63" s="1"/>
      <c r="Y63" s="1"/>
      <c r="Z63" s="1"/>
      <c r="AA63" s="1"/>
      <c r="AB63" s="1"/>
      <c r="AC63" s="1"/>
      <c r="AD63" s="1"/>
      <c r="AE63" s="1"/>
      <c r="AF63" s="1"/>
      <c r="AG63" s="1"/>
      <c r="AH63" s="1"/>
      <c r="AI63" s="1"/>
      <c r="AJ63" s="10"/>
      <c r="AK63" s="10"/>
      <c r="AL63" s="10"/>
      <c r="AM63" s="10"/>
      <c r="AN63" s="10"/>
      <c r="AO63" s="1"/>
      <c r="AP63" s="1"/>
      <c r="AQ63" s="1"/>
      <c r="AR63" s="1"/>
      <c r="AS63" s="1"/>
      <c r="AT63" s="1"/>
      <c r="AU63" s="1"/>
      <c r="AV63" s="1"/>
      <c r="AW63" s="1"/>
      <c r="AX63" s="1"/>
      <c r="AY63" s="1"/>
      <c r="AZ63" s="1"/>
      <c r="BA63" s="647" t="s">
        <v>161</v>
      </c>
      <c r="BB63" s="1"/>
      <c r="BC63" s="1"/>
      <c r="BD63" s="1"/>
      <c r="BE63" s="1"/>
      <c r="BF63" s="1"/>
      <c r="BG63" s="1"/>
      <c r="BH63" s="1"/>
      <c r="BI63" s="1"/>
      <c r="BJ63" s="1"/>
      <c r="BK63" s="1"/>
      <c r="BL63" s="1"/>
      <c r="BM63" s="1"/>
      <c r="BN63" s="1"/>
      <c r="BO63" s="1"/>
      <c r="BP63" s="1"/>
      <c r="BQ63" s="1"/>
      <c r="BR63" s="1"/>
      <c r="BS63" s="1"/>
      <c r="BT63" s="1"/>
      <c r="BU63" s="1"/>
      <c r="BV63" s="1"/>
      <c r="BW63" s="1"/>
      <c r="BX63" s="1"/>
    </row>
    <row r="64" ht="15.75" customHeight="1">
      <c r="A64" s="161"/>
      <c r="B64" s="323" t="s">
        <v>149</v>
      </c>
      <c r="C64" s="182" t="s">
        <v>150</v>
      </c>
      <c r="D64" s="60"/>
      <c r="E64" s="178" t="s">
        <v>283</v>
      </c>
      <c r="F64" s="179"/>
      <c r="G64" s="60"/>
      <c r="H64" s="185" t="s">
        <v>152</v>
      </c>
      <c r="I64" s="185" t="s">
        <v>284</v>
      </c>
      <c r="J64" s="648" t="s">
        <v>154</v>
      </c>
      <c r="K64" s="278"/>
      <c r="L64" s="325" t="s">
        <v>155</v>
      </c>
      <c r="M64" s="326" t="s">
        <v>156</v>
      </c>
      <c r="N64" s="27"/>
      <c r="O64" s="183" t="s">
        <v>90</v>
      </c>
      <c r="P64" s="60"/>
      <c r="Q64" s="1"/>
      <c r="R64" s="161"/>
      <c r="S64" s="1"/>
      <c r="T64" s="327" t="s">
        <v>157</v>
      </c>
      <c r="U64" s="241"/>
      <c r="V64" s="241"/>
      <c r="W64" s="241"/>
      <c r="X64" s="241"/>
      <c r="Y64" s="241"/>
      <c r="Z64" s="241"/>
      <c r="AA64" s="241"/>
      <c r="AB64" s="241"/>
      <c r="AC64" s="241"/>
      <c r="AD64" s="239"/>
      <c r="AE64" s="185" t="s">
        <v>158</v>
      </c>
      <c r="AF64" s="327" t="s">
        <v>159</v>
      </c>
      <c r="AG64" s="241"/>
      <c r="AH64" s="241"/>
      <c r="AI64" s="241"/>
      <c r="AJ64" s="241"/>
      <c r="AK64" s="241"/>
      <c r="AL64" s="241"/>
      <c r="AM64" s="241"/>
      <c r="AN64" s="241"/>
      <c r="AO64" s="241"/>
      <c r="AP64" s="239"/>
      <c r="AQ64" s="325" t="s">
        <v>160</v>
      </c>
      <c r="AR64" s="327" t="s">
        <v>159</v>
      </c>
      <c r="AS64" s="241"/>
      <c r="AT64" s="241"/>
      <c r="AU64" s="241"/>
      <c r="AV64" s="239"/>
      <c r="AW64" s="1"/>
      <c r="AX64" s="1"/>
      <c r="AY64" s="1"/>
      <c r="AZ64" s="1"/>
      <c r="BA64" s="611"/>
      <c r="BB64" s="649">
        <f t="shared" ref="BB64:BU64" si="13">COUNTIF(BB66:BB85,"?*")</f>
        <v>0</v>
      </c>
      <c r="BC64" s="330">
        <f t="shared" si="13"/>
        <v>0</v>
      </c>
      <c r="BD64" s="330">
        <f t="shared" si="13"/>
        <v>0</v>
      </c>
      <c r="BE64" s="330">
        <f t="shared" si="13"/>
        <v>0</v>
      </c>
      <c r="BF64" s="330">
        <f t="shared" si="13"/>
        <v>0</v>
      </c>
      <c r="BG64" s="330">
        <f t="shared" si="13"/>
        <v>0</v>
      </c>
      <c r="BH64" s="330">
        <f t="shared" si="13"/>
        <v>0</v>
      </c>
      <c r="BI64" s="330">
        <f t="shared" si="13"/>
        <v>0</v>
      </c>
      <c r="BJ64" s="330">
        <f t="shared" si="13"/>
        <v>0</v>
      </c>
      <c r="BK64" s="330">
        <f t="shared" si="13"/>
        <v>0</v>
      </c>
      <c r="BL64" s="330">
        <f t="shared" si="13"/>
        <v>0</v>
      </c>
      <c r="BM64" s="330">
        <f t="shared" si="13"/>
        <v>0</v>
      </c>
      <c r="BN64" s="330">
        <f t="shared" si="13"/>
        <v>0</v>
      </c>
      <c r="BO64" s="330">
        <f t="shared" si="13"/>
        <v>0</v>
      </c>
      <c r="BP64" s="330">
        <f t="shared" si="13"/>
        <v>0</v>
      </c>
      <c r="BQ64" s="330">
        <f t="shared" si="13"/>
        <v>0</v>
      </c>
      <c r="BR64" s="330">
        <f t="shared" si="13"/>
        <v>0</v>
      </c>
      <c r="BS64" s="330">
        <f t="shared" si="13"/>
        <v>0</v>
      </c>
      <c r="BT64" s="330">
        <f t="shared" si="13"/>
        <v>0</v>
      </c>
      <c r="BU64" s="330">
        <f t="shared" si="13"/>
        <v>0</v>
      </c>
      <c r="BV64" s="1"/>
      <c r="BW64" s="1"/>
      <c r="BX64" s="1"/>
    </row>
    <row r="65" ht="45.0" customHeight="1">
      <c r="A65" s="20"/>
      <c r="B65" s="650"/>
      <c r="C65" s="651" t="s">
        <v>162</v>
      </c>
      <c r="D65" s="488" t="s">
        <v>163</v>
      </c>
      <c r="E65" s="486" t="s">
        <v>164</v>
      </c>
      <c r="F65" s="604" t="s">
        <v>165</v>
      </c>
      <c r="G65" s="605"/>
      <c r="H65" s="650"/>
      <c r="I65" s="650"/>
      <c r="J65" s="7"/>
      <c r="K65" s="9"/>
      <c r="L65" s="146"/>
      <c r="M65" s="652"/>
      <c r="N65" s="526"/>
      <c r="O65" s="653" t="s">
        <v>105</v>
      </c>
      <c r="P65" s="488" t="s">
        <v>106</v>
      </c>
      <c r="Q65" s="1"/>
      <c r="R65" s="161"/>
      <c r="S65" s="1"/>
      <c r="T65" s="424" t="s">
        <v>166</v>
      </c>
      <c r="U65" s="633" t="s">
        <v>167</v>
      </c>
      <c r="V65" s="634" t="s">
        <v>168</v>
      </c>
      <c r="W65" s="654" t="s">
        <v>169</v>
      </c>
      <c r="X65" s="544" t="s">
        <v>170</v>
      </c>
      <c r="Y65" s="545"/>
      <c r="Z65" s="545"/>
      <c r="AA65" s="545"/>
      <c r="AB65" s="546" t="s">
        <v>171</v>
      </c>
      <c r="AC65" s="655" t="s">
        <v>172</v>
      </c>
      <c r="AD65" s="634" t="s">
        <v>173</v>
      </c>
      <c r="AE65" s="197"/>
      <c r="AF65" s="340" t="s">
        <v>166</v>
      </c>
      <c r="AG65" s="335" t="s">
        <v>107</v>
      </c>
      <c r="AH65" s="336" t="s">
        <v>108</v>
      </c>
      <c r="AI65" s="335" t="s">
        <v>109</v>
      </c>
      <c r="AJ65" s="656" t="s">
        <v>108</v>
      </c>
      <c r="AK65" s="657"/>
      <c r="AL65" s="657"/>
      <c r="AM65" s="657"/>
      <c r="AN65" s="656" t="s">
        <v>93</v>
      </c>
      <c r="AO65" s="543" t="s">
        <v>93</v>
      </c>
      <c r="AP65" s="336" t="s">
        <v>110</v>
      </c>
      <c r="AQ65" s="138"/>
      <c r="AR65" s="336" t="s">
        <v>174</v>
      </c>
      <c r="AS65" s="335" t="s">
        <v>175</v>
      </c>
      <c r="AT65" s="336" t="s">
        <v>176</v>
      </c>
      <c r="AU65" s="345" t="s">
        <v>177</v>
      </c>
      <c r="AV65" s="336" t="s">
        <v>178</v>
      </c>
      <c r="AW65" s="547" t="s">
        <v>179</v>
      </c>
      <c r="AX65" s="658" t="s">
        <v>180</v>
      </c>
      <c r="AY65" s="659" t="s">
        <v>285</v>
      </c>
      <c r="AZ65" s="1"/>
      <c r="BA65" s="160" t="s">
        <v>182</v>
      </c>
      <c r="BB65" s="349">
        <v>1.0</v>
      </c>
      <c r="BC65" s="349">
        <v>2.0</v>
      </c>
      <c r="BD65" s="349">
        <v>3.0</v>
      </c>
      <c r="BE65" s="349">
        <v>4.0</v>
      </c>
      <c r="BF65" s="349">
        <v>5.0</v>
      </c>
      <c r="BG65" s="349">
        <v>6.0</v>
      </c>
      <c r="BH65" s="349">
        <v>7.0</v>
      </c>
      <c r="BI65" s="349">
        <v>8.0</v>
      </c>
      <c r="BJ65" s="349">
        <v>9.0</v>
      </c>
      <c r="BK65" s="349">
        <v>10.0</v>
      </c>
      <c r="BL65" s="349">
        <v>11.0</v>
      </c>
      <c r="BM65" s="349">
        <v>12.0</v>
      </c>
      <c r="BN65" s="349">
        <v>13.0</v>
      </c>
      <c r="BO65" s="349">
        <v>14.0</v>
      </c>
      <c r="BP65" s="349">
        <v>15.0</v>
      </c>
      <c r="BQ65" s="349">
        <v>16.0</v>
      </c>
      <c r="BR65" s="349">
        <v>17.0</v>
      </c>
      <c r="BS65" s="349">
        <v>18.0</v>
      </c>
      <c r="BT65" s="349">
        <v>19.0</v>
      </c>
      <c r="BU65" s="349">
        <v>20.0</v>
      </c>
      <c r="BV65" s="350" t="s">
        <v>183</v>
      </c>
      <c r="BW65" s="349" t="s">
        <v>184</v>
      </c>
      <c r="BX65" s="349" t="s">
        <v>185</v>
      </c>
    </row>
    <row r="66" ht="14.25" customHeight="1">
      <c r="A66" s="1"/>
      <c r="B66" s="492">
        <v>1.0</v>
      </c>
      <c r="C66" s="549" t="str">
        <f t="shared" ref="C66:C85" si="15">IF(D66="","",C11)</f>
        <v/>
      </c>
      <c r="D66" s="550" t="str">
        <f t="shared" ref="D66:D85" si="16">IF(OR(K11="", K11=0),"",D11)</f>
        <v/>
      </c>
      <c r="E66" s="551" t="str">
        <f t="shared" ref="E66:E85" si="17">IF(AX66="","",AX66)</f>
        <v/>
      </c>
      <c r="F66" s="494"/>
      <c r="G66" s="60"/>
      <c r="H66" s="552" t="str">
        <f t="shared" ref="H66:H85" si="18">IF(D66="","",AB66)</f>
        <v/>
      </c>
      <c r="I66" s="660" t="str">
        <f t="shared" ref="I66:I85" si="19">IF(OR(K11="",K11=0),"",K11)</f>
        <v/>
      </c>
      <c r="J66" s="661" t="str">
        <f>IF(F66="","",VLOOKUP(F66,'10. Condition and Temporal'!$B$6:$F$103,5,FALSE))</f>
        <v/>
      </c>
      <c r="K66" s="275"/>
      <c r="L66" s="499" t="str">
        <f t="shared" ref="L66:L85" si="20">IFERROR(IF(D66="","",IF(AX66="Distinctiveness",(((((I66*AH66*AJ66*AY66)-(I66*V66*X66))*(AV66*AT66))+(I66*V66*X66))*AP66)/1000,((((I66*AH66*AJ66*AY66)-(I66*V66*X66*AJ11))*(AV66*AR66))+(I66*V66*X66*AJ11))*AP66/1000)),"This intervention is not permitted within the SSM ▲")</f>
        <v/>
      </c>
      <c r="M66" s="555" t="str">
        <f t="shared" ref="M66:M85" si="21">IFERROR(IF(F66="","",L66-AD66), "Error ▲")</f>
        <v/>
      </c>
      <c r="N66" s="60"/>
      <c r="O66" s="556"/>
      <c r="P66" s="557"/>
      <c r="Q66" s="1"/>
      <c r="R66" s="161"/>
      <c r="S66" s="1"/>
      <c r="T66" s="361" t="str">
        <f t="shared" ref="T66:T85" si="22">IF(D66="","",K11)</f>
        <v/>
      </c>
      <c r="U66" s="379" t="str">
        <f t="shared" ref="U66:U85" si="23">IF($D66="","",T11)</f>
        <v/>
      </c>
      <c r="V66" s="380" t="str">
        <f t="shared" ref="V66:X66" si="14">IF($D66="","",V11)</f>
        <v/>
      </c>
      <c r="W66" s="560" t="str">
        <f t="shared" si="14"/>
        <v/>
      </c>
      <c r="X66" s="214" t="str">
        <f t="shared" si="14"/>
        <v/>
      </c>
      <c r="Y66" s="365"/>
      <c r="Z66" s="365"/>
      <c r="AA66" s="365"/>
      <c r="AB66" s="211" t="str">
        <f t="shared" ref="AB66:AB85" si="25">IF($D66="","",AB11)</f>
        <v/>
      </c>
      <c r="AC66" s="561" t="str">
        <f t="shared" ref="AC66:AC85" si="26">IF($D66="","",AD11)</f>
        <v/>
      </c>
      <c r="AD66" s="380" t="str">
        <f t="shared" ref="AD66:AD85" si="27">IF(AC66="","",((T66*V66*X66)*AC66*AJ11)/1000)</f>
        <v/>
      </c>
      <c r="AE66" s="559" t="str">
        <f t="shared" ref="AE66:AE85" si="28">IF(AD66="","",IF(AH66&lt;V66,"Not Acceptable","Acceptable"))</f>
        <v/>
      </c>
      <c r="AF66" s="560" t="str">
        <f t="shared" ref="AF66:AF85" si="29">IF(D66="","",I66)</f>
        <v/>
      </c>
      <c r="AG66" s="379" t="str">
        <f>IF(D66="","",VLOOKUP(F66,'9. All Habitats + Multipliers'!$C$4:$K$102,5,FALSE))</f>
        <v/>
      </c>
      <c r="AH66" s="380" t="str">
        <f>IF(AG66="","",VLOOKUP(AG66,'11. Lists'!$B$47:$D$49,2,FALSE))</f>
        <v/>
      </c>
      <c r="AI66" s="379" t="str">
        <f t="shared" ref="AI66:AI85" si="30">IF(D66="","",J66)</f>
        <v/>
      </c>
      <c r="AJ66" s="215" t="str">
        <f>IF(AI66="","",VLOOKUP(AI66,'11. Lists'!$F$47:$G$51,2,FALSE))</f>
        <v/>
      </c>
      <c r="AK66" s="365"/>
      <c r="AL66" s="365"/>
      <c r="AM66" s="365"/>
      <c r="AN66" s="215" t="str">
        <f t="shared" ref="AN66:AN85" si="31">IF(H66="","",H66)</f>
        <v/>
      </c>
      <c r="AO66" s="558" t="str">
        <f>IF(AN66="","",VLOOKUP(AN66,'11. Lists'!$F$36:$H$38,2,FALSE))</f>
        <v/>
      </c>
      <c r="AP66" s="380" t="str">
        <f>IF(AN66="","",VLOOKUP(AN66,'11. Lists'!$F$36:$H$38,3,FALSE))</f>
        <v/>
      </c>
      <c r="AQ66" s="379" t="str">
        <f>IF(D66="","",IF(AX66="Distinctiveness","N/A",VLOOKUP(F66,'10. Condition and Temporal'!$B$6:$L$103,11,FALSE)))</f>
        <v/>
      </c>
      <c r="AR66" s="382" t="str">
        <f>IF(AQ66="","",IF(AQ66="N/A","1",VLOOKUP(AQ66,'11. Lists'!$I$47:$K$80,3,FALSE)))</f>
        <v/>
      </c>
      <c r="AS66" s="562" t="str">
        <f>IF(D66="","",IF(AX66="Condition","N/A",VLOOKUP(F66,'10. Condition and Temporal'!$B$6:$M$106,12,FALSE)))</f>
        <v/>
      </c>
      <c r="AT66" s="382" t="str">
        <f>IF(AS66="","",IF(AS66="N/A","1",VLOOKUP(AS66,'11. Lists'!$I$47:$K$80,3,FALSE)))</f>
        <v/>
      </c>
      <c r="AU66" s="561" t="str">
        <f>IF(D66="","",VLOOKUP(F66,'9. All Habitats + Multipliers'!$C$4:$K$102,8,FALSE))</f>
        <v/>
      </c>
      <c r="AV66" s="380" t="str">
        <f>IF(AU66="","",VLOOKUP(AU66,'11. Lists'!$J$35:$K$38,2,FALSE))</f>
        <v/>
      </c>
      <c r="AW66" s="379" t="str">
        <f>IF(D66="","",VLOOKUP(D66,'10. Condition and Temporal'!$B$6:$M$103,4,FALSE))</f>
        <v/>
      </c>
      <c r="AX66" s="662" t="str">
        <f t="shared" ref="AX66:AX85" si="32">IF(F66="","",IF(D66=F66,"Condition","Distinctiveness"))</f>
        <v/>
      </c>
      <c r="AY66" s="642" t="str">
        <f t="array" ref="AY66:AZ85">IF($F$66:$G$85="Culvert","0.68","1")</f>
        <v>1</v>
      </c>
      <c r="AZ66" s="663" t="s">
        <v>280</v>
      </c>
      <c r="BA66" s="214">
        <v>1.0</v>
      </c>
      <c r="BB66" s="215" t="str">
        <f t="shared" ref="BB66:BB85" si="33">TRIM(MID(SUBSTITUTE($AW$66,$BA$62,REPT(" ",LEN($AW$66))),($BA66-1)*LEN($AW$66)+1,LEN($AW$66)))</f>
        <v/>
      </c>
      <c r="BC66" s="215" t="str">
        <f t="shared" ref="BC66:BC85" si="34">TRIM(MID(SUBSTITUTE($AW$67,$BA$62,REPT(" ",LEN($AW$67))),($BA66-1)*LEN($AW$67)+1,LEN($AW$67)))</f>
        <v/>
      </c>
      <c r="BD66" s="215" t="str">
        <f t="shared" ref="BD66:BD85" si="35">TRIM(MID(SUBSTITUTE($AW$68,$BA$62,REPT(" ",LEN($AW$68))),($BA66-1)*LEN($AW$68)+1,LEN($AW$68)))</f>
        <v/>
      </c>
      <c r="BE66" s="215" t="str">
        <f t="shared" ref="BE66:BE85" si="36">TRIM(MID(SUBSTITUTE($AW$69,$BA$62,REPT(" ",LEN($AW$69))),($BA66-1)*LEN($AW$69)+1,LEN($AW$69)))</f>
        <v/>
      </c>
      <c r="BF66" s="215" t="str">
        <f t="shared" ref="BF66:BF85" si="37">TRIM(MID(SUBSTITUTE($AW$70,$BA$62,REPT(" ",LEN($AW$70))),($BA66-1)*LEN($AW$70)+1,LEN($AW$70)))</f>
        <v/>
      </c>
      <c r="BG66" s="215" t="str">
        <f t="shared" ref="BG66:BG85" si="38">TRIM(MID(SUBSTITUTE($AW$71,$BA$62,REPT(" ",LEN($AW$71))),($BA66-1)*LEN($AW$71)+1,LEN($AW$71)))</f>
        <v/>
      </c>
      <c r="BH66" s="215" t="str">
        <f t="shared" ref="BH66:BH85" si="39">TRIM(MID(SUBSTITUTE($AW$72,$BA$62,REPT(" ",LEN($AW$72))),($BA66-1)*LEN($AW$72)+1,LEN($AW$72)))</f>
        <v/>
      </c>
      <c r="BI66" s="215" t="str">
        <f t="shared" ref="BI66:BI85" si="40">TRIM(MID(SUBSTITUTE($AW$73,$BA$62,REPT(" ",LEN($AW$73))),($BA66-1)*LEN($AW$73)+1,LEN($AW$73)))</f>
        <v/>
      </c>
      <c r="BJ66" s="215" t="str">
        <f t="shared" ref="BJ66:BJ85" si="41">TRIM(MID(SUBSTITUTE($AW$74,$BA$62,REPT(" ",LEN($AW$74))),($BA66-1)*LEN($AW$74)+1,LEN($AW$74)))</f>
        <v/>
      </c>
      <c r="BK66" s="215" t="str">
        <f t="shared" ref="BK66:BK85" si="42">TRIM(MID(SUBSTITUTE($AW$75,$BA$62,REPT(" ",LEN($AW$75))),($BA66-1)*LEN($AW$75)+1,LEN($AW$75)))</f>
        <v/>
      </c>
      <c r="BL66" s="215" t="str">
        <f t="shared" ref="BL66:BL85" si="43">TRIM(MID(SUBSTITUTE($AW$76,$BA$62,REPT(" ",LEN($AW$76))),($BA66-1)*LEN($AW$76)+1,LEN($AW$76)))</f>
        <v/>
      </c>
      <c r="BM66" s="215" t="str">
        <f t="shared" ref="BM66:BM85" si="44">TRIM(MID(SUBSTITUTE($AW$77,$BA$62,REPT(" ",LEN($AW$77))),($BA66-1)*LEN($AW$77)+1,LEN($AW$77)))</f>
        <v/>
      </c>
      <c r="BN66" s="215" t="str">
        <f t="shared" ref="BN66:BN85" si="45">TRIM(MID(SUBSTITUTE($AW$78,$BA$62,REPT(" ",LEN($AW$78))),($BA66-1)*LEN($AW$78)+1,LEN($AW$78)))</f>
        <v/>
      </c>
      <c r="BO66" s="215" t="str">
        <f t="shared" ref="BO66:BO85" si="46">TRIM(MID(SUBSTITUTE($AW$79,$BA$62,REPT(" ",LEN($AW$79))),($BA66-1)*LEN($AW$79)+1,LEN($AW$79)))</f>
        <v/>
      </c>
      <c r="BP66" s="215" t="str">
        <f t="shared" ref="BP66:BP85" si="47">TRIM(MID(SUBSTITUTE($AW$80,$BA$62,REPT(" ",LEN($AW$80))),($BA66-1)*LEN($AW$80)+1,LEN($AW$80)))</f>
        <v/>
      </c>
      <c r="BQ66" s="215" t="str">
        <f t="shared" ref="BQ66:BQ85" si="48">TRIM(MID(SUBSTITUTE($AW$81,$BA$62,REPT(" ",LEN($AW$81))),($BA66-1)*LEN($AW$81)+1,LEN($AW$81)))</f>
        <v/>
      </c>
      <c r="BR66" s="215" t="str">
        <f t="shared" ref="BR66:BR85" si="49">TRIM(MID(SUBSTITUTE($AW$82,$BA$62,REPT(" ",LEN($AW$82))),($BA66-1)*LEN($AW$82)+1,LEN($AW$82)))</f>
        <v/>
      </c>
      <c r="BS66" s="215" t="str">
        <f t="shared" ref="BS66:BS85" si="50">TRIM(MID(SUBSTITUTE($AW$83,$BA$62,REPT(" ",LEN($AW$83))),($BA66-1)*LEN($AW$83)+1,LEN($AW$83)))</f>
        <v/>
      </c>
      <c r="BT66" s="215" t="str">
        <f t="shared" ref="BT66:BT85" si="51">TRIM(MID(SUBSTITUTE($AW$84,$BA$62,REPT(" ",LEN($AW$84))),($BA66-1)*LEN($AW$84)+1,LEN($AW$84)))</f>
        <v/>
      </c>
      <c r="BU66" s="211" t="str">
        <f t="shared" ref="BU66:BU85" si="52">TRIM(MID(SUBSTITUTE($AW$85,$BA$62,REPT(" ",LEN($AW$85))),($BA66-1)*LEN($AW$85)+1,LEN($AW$85)))</f>
        <v/>
      </c>
      <c r="BV66" s="212" t="str">
        <f t="shared" ref="BV66:BV85" si="53">IF(BX66=0,"",CONCATENATE(BW66,"66:",BW66,BX66+65))</f>
        <v/>
      </c>
      <c r="BW66" s="215" t="s">
        <v>186</v>
      </c>
      <c r="BX66" s="215">
        <f>BB64</f>
        <v>0</v>
      </c>
    </row>
    <row r="67" ht="14.25" customHeight="1">
      <c r="A67" s="1"/>
      <c r="B67" s="221">
        <v>2.0</v>
      </c>
      <c r="C67" s="376" t="str">
        <f t="shared" si="15"/>
        <v/>
      </c>
      <c r="D67" s="352" t="str">
        <f t="shared" si="16"/>
        <v/>
      </c>
      <c r="E67" s="377" t="str">
        <f t="shared" si="17"/>
        <v/>
      </c>
      <c r="F67" s="222"/>
      <c r="G67" s="43"/>
      <c r="H67" s="354" t="str">
        <f t="shared" si="18"/>
        <v/>
      </c>
      <c r="I67" s="664" t="str">
        <f t="shared" si="19"/>
        <v/>
      </c>
      <c r="J67" s="665" t="str">
        <f>IF(F67="","",VLOOKUP(F67,'10. Condition and Temporal'!$B$6:$F$103,5,FALSE))</f>
        <v/>
      </c>
      <c r="K67" s="666"/>
      <c r="L67" s="505" t="str">
        <f t="shared" si="20"/>
        <v/>
      </c>
      <c r="M67" s="667" t="str">
        <f t="shared" si="21"/>
        <v/>
      </c>
      <c r="N67" s="43"/>
      <c r="O67" s="378"/>
      <c r="P67" s="300"/>
      <c r="Q67" s="1"/>
      <c r="R67" s="161"/>
      <c r="S67" s="1"/>
      <c r="T67" s="361" t="str">
        <f t="shared" si="22"/>
        <v/>
      </c>
      <c r="U67" s="379" t="str">
        <f t="shared" si="23"/>
        <v/>
      </c>
      <c r="V67" s="380" t="str">
        <f t="shared" ref="V67:X67" si="24">IF($D67="","",V12)</f>
        <v/>
      </c>
      <c r="W67" s="560" t="str">
        <f t="shared" si="24"/>
        <v/>
      </c>
      <c r="X67" s="214" t="str">
        <f t="shared" si="24"/>
        <v/>
      </c>
      <c r="Y67" s="365"/>
      <c r="Z67" s="365"/>
      <c r="AA67" s="365"/>
      <c r="AB67" s="211" t="str">
        <f t="shared" si="25"/>
        <v/>
      </c>
      <c r="AC67" s="561" t="str">
        <f t="shared" si="26"/>
        <v/>
      </c>
      <c r="AD67" s="380" t="str">
        <f t="shared" si="27"/>
        <v/>
      </c>
      <c r="AE67" s="559" t="str">
        <f t="shared" si="28"/>
        <v/>
      </c>
      <c r="AF67" s="560" t="str">
        <f t="shared" si="29"/>
        <v/>
      </c>
      <c r="AG67" s="379" t="str">
        <f>IF(D67="","",VLOOKUP(F67,'9. All Habitats + Multipliers'!$C$4:$K$102,5,FALSE))</f>
        <v/>
      </c>
      <c r="AH67" s="380" t="str">
        <f>IF(AG67="","",VLOOKUP(AG67,'11. Lists'!$B$47:$D$49,2,FALSE))</f>
        <v/>
      </c>
      <c r="AI67" s="379" t="str">
        <f t="shared" si="30"/>
        <v/>
      </c>
      <c r="AJ67" s="215" t="str">
        <f>IF(AI67="","",VLOOKUP(AI67,'11. Lists'!$F$47:$G$51,2,FALSE))</f>
        <v/>
      </c>
      <c r="AK67" s="365"/>
      <c r="AL67" s="365"/>
      <c r="AM67" s="365"/>
      <c r="AN67" s="215" t="str">
        <f t="shared" si="31"/>
        <v/>
      </c>
      <c r="AO67" s="558" t="str">
        <f>IF(AN67="","",VLOOKUP(AN67,'11. Lists'!$F$36:$H$38,2,FALSE))</f>
        <v/>
      </c>
      <c r="AP67" s="380" t="str">
        <f>IF(AN67="","",VLOOKUP(AN67,'11. Lists'!$F$36:$H$38,3,FALSE))</f>
        <v/>
      </c>
      <c r="AQ67" s="379" t="str">
        <f>IF(D67="","",IF(AX67="Distinctiveness","N/A",VLOOKUP(F67,'10. Condition and Temporal'!$B$6:$L$103,11,FALSE)))</f>
        <v/>
      </c>
      <c r="AR67" s="382" t="str">
        <f>IF(AQ67="","",IF(AQ67="N/A","1",VLOOKUP(AQ67,'11. Lists'!$I$47:$K$80,3,FALSE)))</f>
        <v/>
      </c>
      <c r="AS67" s="562" t="str">
        <f>IF(D67="","",IF(AX67="Condition","N/A",VLOOKUP(F67,'10. Condition and Temporal'!$B$6:$M$106,12,FALSE)))</f>
        <v/>
      </c>
      <c r="AT67" s="382" t="str">
        <f>IF(AS67="","",IF(AS67="N/A","1",VLOOKUP(AS67,'11. Lists'!$I$47:$K$80,3,FALSE)))</f>
        <v/>
      </c>
      <c r="AU67" s="561" t="str">
        <f>IF(D67="","",VLOOKUP(F67,'9. All Habitats + Multipliers'!$C$4:$K$102,8,FALSE))</f>
        <v/>
      </c>
      <c r="AV67" s="380" t="str">
        <f>IF(AU67="","",VLOOKUP(AU67,'11. Lists'!$J$35:$K$38,2,FALSE))</f>
        <v/>
      </c>
      <c r="AW67" s="379" t="str">
        <f>IF(D67="","",VLOOKUP(D67,'10. Condition and Temporal'!$B$6:$M$103,4,FALSE))</f>
        <v/>
      </c>
      <c r="AX67" s="662" t="str">
        <f t="shared" si="32"/>
        <v/>
      </c>
      <c r="AY67" s="642" t="s">
        <v>280</v>
      </c>
      <c r="AZ67" s="663" t="s">
        <v>280</v>
      </c>
      <c r="BA67" s="214">
        <v>2.0</v>
      </c>
      <c r="BB67" s="215" t="str">
        <f t="shared" si="33"/>
        <v/>
      </c>
      <c r="BC67" s="215" t="str">
        <f t="shared" si="34"/>
        <v/>
      </c>
      <c r="BD67" s="215" t="str">
        <f t="shared" si="35"/>
        <v/>
      </c>
      <c r="BE67" s="215" t="str">
        <f t="shared" si="36"/>
        <v/>
      </c>
      <c r="BF67" s="215" t="str">
        <f t="shared" si="37"/>
        <v/>
      </c>
      <c r="BG67" s="215" t="str">
        <f t="shared" si="38"/>
        <v/>
      </c>
      <c r="BH67" s="215" t="str">
        <f t="shared" si="39"/>
        <v/>
      </c>
      <c r="BI67" s="215" t="str">
        <f t="shared" si="40"/>
        <v/>
      </c>
      <c r="BJ67" s="215" t="str">
        <f t="shared" si="41"/>
        <v/>
      </c>
      <c r="BK67" s="215" t="str">
        <f t="shared" si="42"/>
        <v/>
      </c>
      <c r="BL67" s="215" t="str">
        <f t="shared" si="43"/>
        <v/>
      </c>
      <c r="BM67" s="215" t="str">
        <f t="shared" si="44"/>
        <v/>
      </c>
      <c r="BN67" s="215" t="str">
        <f t="shared" si="45"/>
        <v/>
      </c>
      <c r="BO67" s="215" t="str">
        <f t="shared" si="46"/>
        <v/>
      </c>
      <c r="BP67" s="215" t="str">
        <f t="shared" si="47"/>
        <v/>
      </c>
      <c r="BQ67" s="215" t="str">
        <f t="shared" si="48"/>
        <v/>
      </c>
      <c r="BR67" s="215" t="str">
        <f t="shared" si="49"/>
        <v/>
      </c>
      <c r="BS67" s="215" t="str">
        <f t="shared" si="50"/>
        <v/>
      </c>
      <c r="BT67" s="215" t="str">
        <f t="shared" si="51"/>
        <v/>
      </c>
      <c r="BU67" s="211" t="str">
        <f t="shared" si="52"/>
        <v/>
      </c>
      <c r="BV67" s="212" t="str">
        <f t="shared" si="53"/>
        <v/>
      </c>
      <c r="BW67" s="215" t="s">
        <v>187</v>
      </c>
      <c r="BX67" s="215">
        <f>BC64</f>
        <v>0</v>
      </c>
    </row>
    <row r="68" ht="14.25" customHeight="1">
      <c r="A68" s="1"/>
      <c r="B68" s="221">
        <v>3.0</v>
      </c>
      <c r="C68" s="376" t="str">
        <f t="shared" si="15"/>
        <v/>
      </c>
      <c r="D68" s="352" t="str">
        <f t="shared" si="16"/>
        <v/>
      </c>
      <c r="E68" s="377" t="str">
        <f t="shared" si="17"/>
        <v/>
      </c>
      <c r="F68" s="222"/>
      <c r="G68" s="43"/>
      <c r="H68" s="354" t="str">
        <f t="shared" si="18"/>
        <v/>
      </c>
      <c r="I68" s="664" t="str">
        <f t="shared" si="19"/>
        <v/>
      </c>
      <c r="J68" s="665" t="str">
        <f>IF(F68="","",VLOOKUP(F68,'10. Condition and Temporal'!$B$6:$F$103,5,FALSE))</f>
        <v/>
      </c>
      <c r="K68" s="666"/>
      <c r="L68" s="505" t="str">
        <f t="shared" si="20"/>
        <v/>
      </c>
      <c r="M68" s="667" t="str">
        <f t="shared" si="21"/>
        <v/>
      </c>
      <c r="N68" s="43"/>
      <c r="O68" s="378"/>
      <c r="P68" s="300"/>
      <c r="Q68" s="1"/>
      <c r="R68" s="161"/>
      <c r="S68" s="1"/>
      <c r="T68" s="361" t="str">
        <f t="shared" si="22"/>
        <v/>
      </c>
      <c r="U68" s="379" t="str">
        <f t="shared" si="23"/>
        <v/>
      </c>
      <c r="V68" s="380" t="str">
        <f t="shared" ref="V68:X68" si="54">IF($D68="","",V13)</f>
        <v/>
      </c>
      <c r="W68" s="560" t="str">
        <f t="shared" si="54"/>
        <v/>
      </c>
      <c r="X68" s="214" t="str">
        <f t="shared" si="54"/>
        <v/>
      </c>
      <c r="Y68" s="365"/>
      <c r="Z68" s="365"/>
      <c r="AA68" s="365"/>
      <c r="AB68" s="211" t="str">
        <f t="shared" si="25"/>
        <v/>
      </c>
      <c r="AC68" s="561" t="str">
        <f t="shared" si="26"/>
        <v/>
      </c>
      <c r="AD68" s="380" t="str">
        <f t="shared" si="27"/>
        <v/>
      </c>
      <c r="AE68" s="559" t="str">
        <f t="shared" si="28"/>
        <v/>
      </c>
      <c r="AF68" s="560" t="str">
        <f t="shared" si="29"/>
        <v/>
      </c>
      <c r="AG68" s="379" t="str">
        <f>IF(D68="","",VLOOKUP(F68,'9. All Habitats + Multipliers'!$C$4:$K$102,5,FALSE))</f>
        <v/>
      </c>
      <c r="AH68" s="380" t="str">
        <f>IF(AG68="","",VLOOKUP(AG68,'11. Lists'!$B$47:$D$49,2,FALSE))</f>
        <v/>
      </c>
      <c r="AI68" s="379" t="str">
        <f t="shared" si="30"/>
        <v/>
      </c>
      <c r="AJ68" s="215" t="str">
        <f>IF(AI68="","",VLOOKUP(AI68,'11. Lists'!$F$47:$G$51,2,FALSE))</f>
        <v/>
      </c>
      <c r="AK68" s="365"/>
      <c r="AL68" s="365"/>
      <c r="AM68" s="365"/>
      <c r="AN68" s="215" t="str">
        <f t="shared" si="31"/>
        <v/>
      </c>
      <c r="AO68" s="558" t="str">
        <f>IF(AN68="","",VLOOKUP(AN68,'11. Lists'!$F$36:$H$38,2,FALSE))</f>
        <v/>
      </c>
      <c r="AP68" s="380" t="str">
        <f>IF(AN68="","",VLOOKUP(AN68,'11. Lists'!$F$36:$H$38,3,FALSE))</f>
        <v/>
      </c>
      <c r="AQ68" s="379" t="str">
        <f>IF(D68="","",IF(AX68="Distinctiveness","N/A",VLOOKUP(F68,'10. Condition and Temporal'!$B$6:$L$103,11,FALSE)))</f>
        <v/>
      </c>
      <c r="AR68" s="382" t="str">
        <f>IF(AQ68="","",IF(AQ68="N/A","1",VLOOKUP(AQ68,'11. Lists'!$I$47:$K$80,3,FALSE)))</f>
        <v/>
      </c>
      <c r="AS68" s="562" t="str">
        <f>IF(D68="","",IF(AX68="Condition","N/A",VLOOKUP(F68,'10. Condition and Temporal'!$B$6:$M$106,12,FALSE)))</f>
        <v/>
      </c>
      <c r="AT68" s="382" t="str">
        <f>IF(AS68="","",IF(AS68="N/A","1",VLOOKUP(AS68,'11. Lists'!$I$47:$K$80,3,FALSE)))</f>
        <v/>
      </c>
      <c r="AU68" s="561" t="str">
        <f>IF(D68="","",VLOOKUP(F68,'9. All Habitats + Multipliers'!$C$4:$K$102,8,FALSE))</f>
        <v/>
      </c>
      <c r="AV68" s="380" t="str">
        <f>IF(AU68="","",VLOOKUP(AU68,'11. Lists'!$J$35:$K$38,2,FALSE))</f>
        <v/>
      </c>
      <c r="AW68" s="379" t="str">
        <f>IF(D68="","",VLOOKUP(D68,'10. Condition and Temporal'!$B$6:$M$103,4,FALSE))</f>
        <v/>
      </c>
      <c r="AX68" s="662" t="str">
        <f t="shared" si="32"/>
        <v/>
      </c>
      <c r="AY68" s="642" t="s">
        <v>280</v>
      </c>
      <c r="AZ68" s="663" t="s">
        <v>280</v>
      </c>
      <c r="BA68" s="214">
        <v>3.0</v>
      </c>
      <c r="BB68" s="215" t="str">
        <f t="shared" si="33"/>
        <v/>
      </c>
      <c r="BC68" s="215" t="str">
        <f t="shared" si="34"/>
        <v/>
      </c>
      <c r="BD68" s="215" t="str">
        <f t="shared" si="35"/>
        <v/>
      </c>
      <c r="BE68" s="215" t="str">
        <f t="shared" si="36"/>
        <v/>
      </c>
      <c r="BF68" s="215" t="str">
        <f t="shared" si="37"/>
        <v/>
      </c>
      <c r="BG68" s="215" t="str">
        <f t="shared" si="38"/>
        <v/>
      </c>
      <c r="BH68" s="215" t="str">
        <f t="shared" si="39"/>
        <v/>
      </c>
      <c r="BI68" s="215" t="str">
        <f t="shared" si="40"/>
        <v/>
      </c>
      <c r="BJ68" s="215" t="str">
        <f t="shared" si="41"/>
        <v/>
      </c>
      <c r="BK68" s="215" t="str">
        <f t="shared" si="42"/>
        <v/>
      </c>
      <c r="BL68" s="215" t="str">
        <f t="shared" si="43"/>
        <v/>
      </c>
      <c r="BM68" s="215" t="str">
        <f t="shared" si="44"/>
        <v/>
      </c>
      <c r="BN68" s="215" t="str">
        <f t="shared" si="45"/>
        <v/>
      </c>
      <c r="BO68" s="215" t="str">
        <f t="shared" si="46"/>
        <v/>
      </c>
      <c r="BP68" s="215" t="str">
        <f t="shared" si="47"/>
        <v/>
      </c>
      <c r="BQ68" s="215" t="str">
        <f t="shared" si="48"/>
        <v/>
      </c>
      <c r="BR68" s="215" t="str">
        <f t="shared" si="49"/>
        <v/>
      </c>
      <c r="BS68" s="215" t="str">
        <f t="shared" si="50"/>
        <v/>
      </c>
      <c r="BT68" s="215" t="str">
        <f t="shared" si="51"/>
        <v/>
      </c>
      <c r="BU68" s="211" t="str">
        <f t="shared" si="52"/>
        <v/>
      </c>
      <c r="BV68" s="212" t="str">
        <f t="shared" si="53"/>
        <v/>
      </c>
      <c r="BW68" s="215" t="s">
        <v>188</v>
      </c>
      <c r="BX68" s="215">
        <f>BD64</f>
        <v>0</v>
      </c>
    </row>
    <row r="69" ht="14.25" customHeight="1">
      <c r="A69" s="1"/>
      <c r="B69" s="221">
        <v>4.0</v>
      </c>
      <c r="C69" s="376" t="str">
        <f t="shared" si="15"/>
        <v/>
      </c>
      <c r="D69" s="352" t="str">
        <f t="shared" si="16"/>
        <v/>
      </c>
      <c r="E69" s="377" t="str">
        <f t="shared" si="17"/>
        <v/>
      </c>
      <c r="F69" s="222"/>
      <c r="G69" s="43"/>
      <c r="H69" s="354" t="str">
        <f t="shared" si="18"/>
        <v/>
      </c>
      <c r="I69" s="664" t="str">
        <f t="shared" si="19"/>
        <v/>
      </c>
      <c r="J69" s="665" t="str">
        <f>IF(F69="","",VLOOKUP(F69,'10. Condition and Temporal'!$B$6:$F$103,5,FALSE))</f>
        <v/>
      </c>
      <c r="K69" s="666"/>
      <c r="L69" s="505" t="str">
        <f t="shared" si="20"/>
        <v/>
      </c>
      <c r="M69" s="667" t="str">
        <f t="shared" si="21"/>
        <v/>
      </c>
      <c r="N69" s="43"/>
      <c r="O69" s="378"/>
      <c r="P69" s="300"/>
      <c r="Q69" s="1"/>
      <c r="R69" s="161"/>
      <c r="S69" s="1"/>
      <c r="T69" s="361" t="str">
        <f t="shared" si="22"/>
        <v/>
      </c>
      <c r="U69" s="379" t="str">
        <f t="shared" si="23"/>
        <v/>
      </c>
      <c r="V69" s="380" t="str">
        <f t="shared" ref="V69:X69" si="55">IF($D69="","",V14)</f>
        <v/>
      </c>
      <c r="W69" s="560" t="str">
        <f t="shared" si="55"/>
        <v/>
      </c>
      <c r="X69" s="214" t="str">
        <f t="shared" si="55"/>
        <v/>
      </c>
      <c r="Y69" s="365"/>
      <c r="Z69" s="365"/>
      <c r="AA69" s="365"/>
      <c r="AB69" s="211" t="str">
        <f t="shared" si="25"/>
        <v/>
      </c>
      <c r="AC69" s="561" t="str">
        <f t="shared" si="26"/>
        <v/>
      </c>
      <c r="AD69" s="380" t="str">
        <f t="shared" si="27"/>
        <v/>
      </c>
      <c r="AE69" s="559" t="str">
        <f t="shared" si="28"/>
        <v/>
      </c>
      <c r="AF69" s="560" t="str">
        <f t="shared" si="29"/>
        <v/>
      </c>
      <c r="AG69" s="379" t="str">
        <f>IF(D69="","",VLOOKUP(F69,'9. All Habitats + Multipliers'!$C$4:$K$102,5,FALSE))</f>
        <v/>
      </c>
      <c r="AH69" s="380" t="str">
        <f>IF(AG69="","",VLOOKUP(AG69,'11. Lists'!$B$47:$D$49,2,FALSE))</f>
        <v/>
      </c>
      <c r="AI69" s="379" t="str">
        <f t="shared" si="30"/>
        <v/>
      </c>
      <c r="AJ69" s="215" t="str">
        <f>IF(AI69="","",VLOOKUP(AI69,'11. Lists'!$F$47:$G$51,2,FALSE))</f>
        <v/>
      </c>
      <c r="AK69" s="365"/>
      <c r="AL69" s="365"/>
      <c r="AM69" s="365"/>
      <c r="AN69" s="215" t="str">
        <f t="shared" si="31"/>
        <v/>
      </c>
      <c r="AO69" s="558" t="str">
        <f>IF(AN69="","",VLOOKUP(AN69,'11. Lists'!$F$36:$H$38,2,FALSE))</f>
        <v/>
      </c>
      <c r="AP69" s="380" t="str">
        <f>IF(AN69="","",VLOOKUP(AN69,'11. Lists'!$F$36:$H$38,3,FALSE))</f>
        <v/>
      </c>
      <c r="AQ69" s="379" t="str">
        <f>IF(D69="","",IF(AX69="Distinctiveness","N/A",VLOOKUP(F69,'10. Condition and Temporal'!$B$6:$L$103,11,FALSE)))</f>
        <v/>
      </c>
      <c r="AR69" s="382" t="str">
        <f>IF(AQ69="","",IF(AQ69="N/A","1",VLOOKUP(AQ69,'11. Lists'!$I$47:$K$80,3,FALSE)))</f>
        <v/>
      </c>
      <c r="AS69" s="562" t="str">
        <f>IF(D69="","",IF(AX69="Condition","N/A",VLOOKUP(F69,'10. Condition and Temporal'!$B$6:$M$106,12,FALSE)))</f>
        <v/>
      </c>
      <c r="AT69" s="382" t="str">
        <f>IF(AS69="","",IF(AS69="N/A","1",VLOOKUP(AS69,'11. Lists'!$I$47:$K$80,3,FALSE)))</f>
        <v/>
      </c>
      <c r="AU69" s="561" t="str">
        <f>IF(D69="","",VLOOKUP(F69,'9. All Habitats + Multipliers'!$C$4:$K$102,8,FALSE))</f>
        <v/>
      </c>
      <c r="AV69" s="380" t="str">
        <f>IF(AU69="","",VLOOKUP(AU69,'11. Lists'!$J$35:$K$38,2,FALSE))</f>
        <v/>
      </c>
      <c r="AW69" s="379" t="str">
        <f>IF(D69="","",VLOOKUP(D69,'10. Condition and Temporal'!$B$6:$M$103,4,FALSE))</f>
        <v/>
      </c>
      <c r="AX69" s="662" t="str">
        <f t="shared" si="32"/>
        <v/>
      </c>
      <c r="AY69" s="642" t="s">
        <v>280</v>
      </c>
      <c r="AZ69" s="663" t="s">
        <v>280</v>
      </c>
      <c r="BA69" s="214">
        <v>4.0</v>
      </c>
      <c r="BB69" s="215" t="str">
        <f t="shared" si="33"/>
        <v/>
      </c>
      <c r="BC69" s="215" t="str">
        <f t="shared" si="34"/>
        <v/>
      </c>
      <c r="BD69" s="215" t="str">
        <f t="shared" si="35"/>
        <v/>
      </c>
      <c r="BE69" s="215" t="str">
        <f t="shared" si="36"/>
        <v/>
      </c>
      <c r="BF69" s="215" t="str">
        <f t="shared" si="37"/>
        <v/>
      </c>
      <c r="BG69" s="215" t="str">
        <f t="shared" si="38"/>
        <v/>
      </c>
      <c r="BH69" s="215" t="str">
        <f t="shared" si="39"/>
        <v/>
      </c>
      <c r="BI69" s="215" t="str">
        <f t="shared" si="40"/>
        <v/>
      </c>
      <c r="BJ69" s="215" t="str">
        <f t="shared" si="41"/>
        <v/>
      </c>
      <c r="BK69" s="215" t="str">
        <f t="shared" si="42"/>
        <v/>
      </c>
      <c r="BL69" s="215" t="str">
        <f t="shared" si="43"/>
        <v/>
      </c>
      <c r="BM69" s="215" t="str">
        <f t="shared" si="44"/>
        <v/>
      </c>
      <c r="BN69" s="215" t="str">
        <f t="shared" si="45"/>
        <v/>
      </c>
      <c r="BO69" s="215" t="str">
        <f t="shared" si="46"/>
        <v/>
      </c>
      <c r="BP69" s="215" t="str">
        <f t="shared" si="47"/>
        <v/>
      </c>
      <c r="BQ69" s="215" t="str">
        <f t="shared" si="48"/>
        <v/>
      </c>
      <c r="BR69" s="215" t="str">
        <f t="shared" si="49"/>
        <v/>
      </c>
      <c r="BS69" s="215" t="str">
        <f t="shared" si="50"/>
        <v/>
      </c>
      <c r="BT69" s="215" t="str">
        <f t="shared" si="51"/>
        <v/>
      </c>
      <c r="BU69" s="211" t="str">
        <f t="shared" si="52"/>
        <v/>
      </c>
      <c r="BV69" s="212" t="str">
        <f t="shared" si="53"/>
        <v/>
      </c>
      <c r="BW69" s="215" t="s">
        <v>189</v>
      </c>
      <c r="BX69" s="215">
        <f>BE64</f>
        <v>0</v>
      </c>
    </row>
    <row r="70" ht="15.75" customHeight="1">
      <c r="A70" s="1"/>
      <c r="B70" s="221">
        <v>5.0</v>
      </c>
      <c r="C70" s="376" t="str">
        <f t="shared" si="15"/>
        <v/>
      </c>
      <c r="D70" s="352" t="str">
        <f t="shared" si="16"/>
        <v/>
      </c>
      <c r="E70" s="377" t="str">
        <f t="shared" si="17"/>
        <v/>
      </c>
      <c r="F70" s="222"/>
      <c r="G70" s="43"/>
      <c r="H70" s="354" t="str">
        <f t="shared" si="18"/>
        <v/>
      </c>
      <c r="I70" s="664" t="str">
        <f t="shared" si="19"/>
        <v/>
      </c>
      <c r="J70" s="665" t="str">
        <f>IF(F70="","",VLOOKUP(F70,'10. Condition and Temporal'!$B$6:$F$103,5,FALSE))</f>
        <v/>
      </c>
      <c r="K70" s="666"/>
      <c r="L70" s="505" t="str">
        <f t="shared" si="20"/>
        <v/>
      </c>
      <c r="M70" s="667" t="str">
        <f t="shared" si="21"/>
        <v/>
      </c>
      <c r="N70" s="43"/>
      <c r="O70" s="378"/>
      <c r="P70" s="300"/>
      <c r="Q70" s="1"/>
      <c r="R70" s="161"/>
      <c r="S70" s="1"/>
      <c r="T70" s="361" t="str">
        <f t="shared" si="22"/>
        <v/>
      </c>
      <c r="U70" s="379" t="str">
        <f t="shared" si="23"/>
        <v/>
      </c>
      <c r="V70" s="380" t="str">
        <f t="shared" ref="V70:X70" si="56">IF($D70="","",V15)</f>
        <v/>
      </c>
      <c r="W70" s="560" t="str">
        <f t="shared" si="56"/>
        <v/>
      </c>
      <c r="X70" s="214" t="str">
        <f t="shared" si="56"/>
        <v/>
      </c>
      <c r="Y70" s="365"/>
      <c r="Z70" s="365"/>
      <c r="AA70" s="365"/>
      <c r="AB70" s="211" t="str">
        <f t="shared" si="25"/>
        <v/>
      </c>
      <c r="AC70" s="561" t="str">
        <f t="shared" si="26"/>
        <v/>
      </c>
      <c r="AD70" s="380" t="str">
        <f t="shared" si="27"/>
        <v/>
      </c>
      <c r="AE70" s="559" t="str">
        <f t="shared" si="28"/>
        <v/>
      </c>
      <c r="AF70" s="560" t="str">
        <f t="shared" si="29"/>
        <v/>
      </c>
      <c r="AG70" s="379" t="str">
        <f>IF(D70="","",VLOOKUP(F70,'9. All Habitats + Multipliers'!$C$4:$K$102,5,FALSE))</f>
        <v/>
      </c>
      <c r="AH70" s="380" t="str">
        <f>IF(AG70="","",VLOOKUP(AG70,'11. Lists'!$B$47:$D$49,2,FALSE))</f>
        <v/>
      </c>
      <c r="AI70" s="379" t="str">
        <f t="shared" si="30"/>
        <v/>
      </c>
      <c r="AJ70" s="215" t="str">
        <f>IF(AI70="","",VLOOKUP(AI70,'11. Lists'!$F$47:$G$51,2,FALSE))</f>
        <v/>
      </c>
      <c r="AK70" s="365"/>
      <c r="AL70" s="365"/>
      <c r="AM70" s="365"/>
      <c r="AN70" s="215" t="str">
        <f t="shared" si="31"/>
        <v/>
      </c>
      <c r="AO70" s="558" t="str">
        <f>IF(AN70="","",VLOOKUP(AN70,'11. Lists'!$F$36:$H$38,2,FALSE))</f>
        <v/>
      </c>
      <c r="AP70" s="380" t="str">
        <f>IF(AN70="","",VLOOKUP(AN70,'11. Lists'!$F$36:$H$38,3,FALSE))</f>
        <v/>
      </c>
      <c r="AQ70" s="379" t="str">
        <f>IF(D70="","",IF(AX70="Distinctiveness","N/A",VLOOKUP(F70,'10. Condition and Temporal'!$B$6:$L$103,11,FALSE)))</f>
        <v/>
      </c>
      <c r="AR70" s="382" t="str">
        <f>IF(AQ70="","",IF(AQ70="N/A","1",VLOOKUP(AQ70,'11. Lists'!$I$47:$K$80,3,FALSE)))</f>
        <v/>
      </c>
      <c r="AS70" s="562" t="str">
        <f>IF(D70="","",IF(AX70="Condition","N/A",VLOOKUP(F70,'10. Condition and Temporal'!$B$6:$M$106,12,FALSE)))</f>
        <v/>
      </c>
      <c r="AT70" s="382" t="str">
        <f>IF(AS70="","",IF(AS70="N/A","1",VLOOKUP(AS70,'11. Lists'!$I$47:$K$80,3,FALSE)))</f>
        <v/>
      </c>
      <c r="AU70" s="561" t="str">
        <f>IF(D70="","",VLOOKUP(F70,'9. All Habitats + Multipliers'!$C$4:$K$102,8,FALSE))</f>
        <v/>
      </c>
      <c r="AV70" s="380" t="str">
        <f>IF(AU70="","",VLOOKUP(AU70,'11. Lists'!$J$35:$K$38,2,FALSE))</f>
        <v/>
      </c>
      <c r="AW70" s="379" t="str">
        <f>IF(D70="","",VLOOKUP(D70,'10. Condition and Temporal'!$B$6:$M$103,4,FALSE))</f>
        <v/>
      </c>
      <c r="AX70" s="662" t="str">
        <f t="shared" si="32"/>
        <v/>
      </c>
      <c r="AY70" s="642" t="s">
        <v>280</v>
      </c>
      <c r="AZ70" s="663" t="s">
        <v>280</v>
      </c>
      <c r="BA70" s="214">
        <v>5.0</v>
      </c>
      <c r="BB70" s="215" t="str">
        <f t="shared" si="33"/>
        <v/>
      </c>
      <c r="BC70" s="215" t="str">
        <f t="shared" si="34"/>
        <v/>
      </c>
      <c r="BD70" s="215" t="str">
        <f t="shared" si="35"/>
        <v/>
      </c>
      <c r="BE70" s="215" t="str">
        <f t="shared" si="36"/>
        <v/>
      </c>
      <c r="BF70" s="215" t="str">
        <f t="shared" si="37"/>
        <v/>
      </c>
      <c r="BG70" s="215" t="str">
        <f t="shared" si="38"/>
        <v/>
      </c>
      <c r="BH70" s="215" t="str">
        <f t="shared" si="39"/>
        <v/>
      </c>
      <c r="BI70" s="215" t="str">
        <f t="shared" si="40"/>
        <v/>
      </c>
      <c r="BJ70" s="215" t="str">
        <f t="shared" si="41"/>
        <v/>
      </c>
      <c r="BK70" s="215" t="str">
        <f t="shared" si="42"/>
        <v/>
      </c>
      <c r="BL70" s="215" t="str">
        <f t="shared" si="43"/>
        <v/>
      </c>
      <c r="BM70" s="215" t="str">
        <f t="shared" si="44"/>
        <v/>
      </c>
      <c r="BN70" s="215" t="str">
        <f t="shared" si="45"/>
        <v/>
      </c>
      <c r="BO70" s="215" t="str">
        <f t="shared" si="46"/>
        <v/>
      </c>
      <c r="BP70" s="215" t="str">
        <f t="shared" si="47"/>
        <v/>
      </c>
      <c r="BQ70" s="215" t="str">
        <f t="shared" si="48"/>
        <v/>
      </c>
      <c r="BR70" s="215" t="str">
        <f t="shared" si="49"/>
        <v/>
      </c>
      <c r="BS70" s="215" t="str">
        <f t="shared" si="50"/>
        <v/>
      </c>
      <c r="BT70" s="215" t="str">
        <f t="shared" si="51"/>
        <v/>
      </c>
      <c r="BU70" s="211" t="str">
        <f t="shared" si="52"/>
        <v/>
      </c>
      <c r="BV70" s="212" t="str">
        <f t="shared" si="53"/>
        <v/>
      </c>
      <c r="BW70" s="215" t="s">
        <v>190</v>
      </c>
      <c r="BX70" s="215">
        <f>BF64</f>
        <v>0</v>
      </c>
    </row>
    <row r="71" ht="15.75" customHeight="1">
      <c r="A71" s="1"/>
      <c r="B71" s="221">
        <v>6.0</v>
      </c>
      <c r="C71" s="376" t="str">
        <f t="shared" si="15"/>
        <v/>
      </c>
      <c r="D71" s="352" t="str">
        <f t="shared" si="16"/>
        <v/>
      </c>
      <c r="E71" s="377" t="str">
        <f t="shared" si="17"/>
        <v/>
      </c>
      <c r="F71" s="222"/>
      <c r="G71" s="43"/>
      <c r="H71" s="354" t="str">
        <f t="shared" si="18"/>
        <v/>
      </c>
      <c r="I71" s="664" t="str">
        <f t="shared" si="19"/>
        <v/>
      </c>
      <c r="J71" s="665" t="str">
        <f>IF(F71="","",VLOOKUP(F71,'10. Condition and Temporal'!$B$6:$F$103,5,FALSE))</f>
        <v/>
      </c>
      <c r="K71" s="666"/>
      <c r="L71" s="505" t="str">
        <f t="shared" si="20"/>
        <v/>
      </c>
      <c r="M71" s="667" t="str">
        <f t="shared" si="21"/>
        <v/>
      </c>
      <c r="N71" s="43"/>
      <c r="O71" s="378"/>
      <c r="P71" s="300"/>
      <c r="Q71" s="1"/>
      <c r="R71" s="161"/>
      <c r="S71" s="1"/>
      <c r="T71" s="361" t="str">
        <f t="shared" si="22"/>
        <v/>
      </c>
      <c r="U71" s="379" t="str">
        <f t="shared" si="23"/>
        <v/>
      </c>
      <c r="V71" s="380" t="str">
        <f t="shared" ref="V71:X71" si="57">IF($D71="","",V16)</f>
        <v/>
      </c>
      <c r="W71" s="560" t="str">
        <f t="shared" si="57"/>
        <v/>
      </c>
      <c r="X71" s="214" t="str">
        <f t="shared" si="57"/>
        <v/>
      </c>
      <c r="Y71" s="365"/>
      <c r="Z71" s="365"/>
      <c r="AA71" s="365"/>
      <c r="AB71" s="211" t="str">
        <f t="shared" si="25"/>
        <v/>
      </c>
      <c r="AC71" s="561" t="str">
        <f t="shared" si="26"/>
        <v/>
      </c>
      <c r="AD71" s="380" t="str">
        <f t="shared" si="27"/>
        <v/>
      </c>
      <c r="AE71" s="559" t="str">
        <f t="shared" si="28"/>
        <v/>
      </c>
      <c r="AF71" s="560" t="str">
        <f t="shared" si="29"/>
        <v/>
      </c>
      <c r="AG71" s="379" t="str">
        <f>IF(D71="","",VLOOKUP(F71,'9. All Habitats + Multipliers'!$C$4:$K$102,5,FALSE))</f>
        <v/>
      </c>
      <c r="AH71" s="380" t="str">
        <f>IF(AG71="","",VLOOKUP(AG71,'11. Lists'!$B$47:$D$49,2,FALSE))</f>
        <v/>
      </c>
      <c r="AI71" s="379" t="str">
        <f t="shared" si="30"/>
        <v/>
      </c>
      <c r="AJ71" s="215" t="str">
        <f>IF(AI71="","",VLOOKUP(AI71,'11. Lists'!$F$47:$G$51,2,FALSE))</f>
        <v/>
      </c>
      <c r="AK71" s="365"/>
      <c r="AL71" s="365"/>
      <c r="AM71" s="365"/>
      <c r="AN71" s="215" t="str">
        <f t="shared" si="31"/>
        <v/>
      </c>
      <c r="AO71" s="558" t="str">
        <f>IF(AN71="","",VLOOKUP(AN71,'11. Lists'!$F$36:$H$38,2,FALSE))</f>
        <v/>
      </c>
      <c r="AP71" s="380" t="str">
        <f>IF(AN71="","",VLOOKUP(AN71,'11. Lists'!$F$36:$H$38,3,FALSE))</f>
        <v/>
      </c>
      <c r="AQ71" s="379" t="str">
        <f>IF(D71="","",IF(AX71="Distinctiveness","N/A",VLOOKUP(F71,'10. Condition and Temporal'!$B$6:$L$103,11,FALSE)))</f>
        <v/>
      </c>
      <c r="AR71" s="382" t="str">
        <f>IF(AQ71="","",IF(AQ71="N/A","1",VLOOKUP(AQ71,'11. Lists'!$I$47:$K$80,3,FALSE)))</f>
        <v/>
      </c>
      <c r="AS71" s="562" t="str">
        <f>IF(D71="","",IF(AX71="Condition","N/A",VLOOKUP(F71,'10. Condition and Temporal'!$B$6:$M$106,12,FALSE)))</f>
        <v/>
      </c>
      <c r="AT71" s="382" t="str">
        <f>IF(AS71="","",IF(AS71="N/A","1",VLOOKUP(AS71,'11. Lists'!$I$47:$K$80,3,FALSE)))</f>
        <v/>
      </c>
      <c r="AU71" s="561" t="str">
        <f>IF(D71="","",VLOOKUP(F71,'9. All Habitats + Multipliers'!$C$4:$K$102,8,FALSE))</f>
        <v/>
      </c>
      <c r="AV71" s="380" t="str">
        <f>IF(AU71="","",VLOOKUP(AU71,'11. Lists'!$J$35:$K$38,2,FALSE))</f>
        <v/>
      </c>
      <c r="AW71" s="379" t="str">
        <f>IF(D71="","",VLOOKUP(D71,'10. Condition and Temporal'!$B$6:$M$103,4,FALSE))</f>
        <v/>
      </c>
      <c r="AX71" s="662" t="str">
        <f t="shared" si="32"/>
        <v/>
      </c>
      <c r="AY71" s="642" t="s">
        <v>280</v>
      </c>
      <c r="AZ71" s="663" t="s">
        <v>280</v>
      </c>
      <c r="BA71" s="214">
        <v>6.0</v>
      </c>
      <c r="BB71" s="215" t="str">
        <f t="shared" si="33"/>
        <v/>
      </c>
      <c r="BC71" s="215" t="str">
        <f t="shared" si="34"/>
        <v/>
      </c>
      <c r="BD71" s="215" t="str">
        <f t="shared" si="35"/>
        <v/>
      </c>
      <c r="BE71" s="215" t="str">
        <f t="shared" si="36"/>
        <v/>
      </c>
      <c r="BF71" s="215" t="str">
        <f t="shared" si="37"/>
        <v/>
      </c>
      <c r="BG71" s="215" t="str">
        <f t="shared" si="38"/>
        <v/>
      </c>
      <c r="BH71" s="215" t="str">
        <f t="shared" si="39"/>
        <v/>
      </c>
      <c r="BI71" s="215" t="str">
        <f t="shared" si="40"/>
        <v/>
      </c>
      <c r="BJ71" s="215" t="str">
        <f t="shared" si="41"/>
        <v/>
      </c>
      <c r="BK71" s="215" t="str">
        <f t="shared" si="42"/>
        <v/>
      </c>
      <c r="BL71" s="215" t="str">
        <f t="shared" si="43"/>
        <v/>
      </c>
      <c r="BM71" s="215" t="str">
        <f t="shared" si="44"/>
        <v/>
      </c>
      <c r="BN71" s="215" t="str">
        <f t="shared" si="45"/>
        <v/>
      </c>
      <c r="BO71" s="215" t="str">
        <f t="shared" si="46"/>
        <v/>
      </c>
      <c r="BP71" s="215" t="str">
        <f t="shared" si="47"/>
        <v/>
      </c>
      <c r="BQ71" s="215" t="str">
        <f t="shared" si="48"/>
        <v/>
      </c>
      <c r="BR71" s="215" t="str">
        <f t="shared" si="49"/>
        <v/>
      </c>
      <c r="BS71" s="215" t="str">
        <f t="shared" si="50"/>
        <v/>
      </c>
      <c r="BT71" s="215" t="str">
        <f t="shared" si="51"/>
        <v/>
      </c>
      <c r="BU71" s="211" t="str">
        <f t="shared" si="52"/>
        <v/>
      </c>
      <c r="BV71" s="212" t="str">
        <f t="shared" si="53"/>
        <v/>
      </c>
      <c r="BW71" s="215" t="s">
        <v>191</v>
      </c>
      <c r="BX71" s="215">
        <f>BG64</f>
        <v>0</v>
      </c>
    </row>
    <row r="72" ht="15.75" customHeight="1">
      <c r="A72" s="1"/>
      <c r="B72" s="221">
        <v>7.0</v>
      </c>
      <c r="C72" s="376" t="str">
        <f t="shared" si="15"/>
        <v/>
      </c>
      <c r="D72" s="352" t="str">
        <f t="shared" si="16"/>
        <v/>
      </c>
      <c r="E72" s="377" t="str">
        <f t="shared" si="17"/>
        <v/>
      </c>
      <c r="F72" s="222"/>
      <c r="G72" s="43"/>
      <c r="H72" s="354" t="str">
        <f t="shared" si="18"/>
        <v/>
      </c>
      <c r="I72" s="664" t="str">
        <f t="shared" si="19"/>
        <v/>
      </c>
      <c r="J72" s="665" t="str">
        <f>IF(F72="","",VLOOKUP(F72,'10. Condition and Temporal'!$B$6:$F$103,5,FALSE))</f>
        <v/>
      </c>
      <c r="K72" s="666"/>
      <c r="L72" s="505" t="str">
        <f t="shared" si="20"/>
        <v/>
      </c>
      <c r="M72" s="667" t="str">
        <f t="shared" si="21"/>
        <v/>
      </c>
      <c r="N72" s="43"/>
      <c r="O72" s="378"/>
      <c r="P72" s="300"/>
      <c r="Q72" s="1"/>
      <c r="R72" s="161"/>
      <c r="S72" s="1"/>
      <c r="T72" s="361" t="str">
        <f t="shared" si="22"/>
        <v/>
      </c>
      <c r="U72" s="379" t="str">
        <f t="shared" si="23"/>
        <v/>
      </c>
      <c r="V72" s="380" t="str">
        <f t="shared" ref="V72:X72" si="58">IF($D72="","",V17)</f>
        <v/>
      </c>
      <c r="W72" s="560" t="str">
        <f t="shared" si="58"/>
        <v/>
      </c>
      <c r="X72" s="214" t="str">
        <f t="shared" si="58"/>
        <v/>
      </c>
      <c r="Y72" s="365"/>
      <c r="Z72" s="365"/>
      <c r="AA72" s="365"/>
      <c r="AB72" s="211" t="str">
        <f t="shared" si="25"/>
        <v/>
      </c>
      <c r="AC72" s="561" t="str">
        <f t="shared" si="26"/>
        <v/>
      </c>
      <c r="AD72" s="380" t="str">
        <f t="shared" si="27"/>
        <v/>
      </c>
      <c r="AE72" s="559" t="str">
        <f t="shared" si="28"/>
        <v/>
      </c>
      <c r="AF72" s="560" t="str">
        <f t="shared" si="29"/>
        <v/>
      </c>
      <c r="AG72" s="379" t="str">
        <f>IF(D72="","",VLOOKUP(F72,'9. All Habitats + Multipliers'!$C$4:$K$102,5,FALSE))</f>
        <v/>
      </c>
      <c r="AH72" s="380" t="str">
        <f>IF(AG72="","",VLOOKUP(AG72,'11. Lists'!$B$47:$D$49,2,FALSE))</f>
        <v/>
      </c>
      <c r="AI72" s="379" t="str">
        <f t="shared" si="30"/>
        <v/>
      </c>
      <c r="AJ72" s="215" t="str">
        <f>IF(AI72="","",VLOOKUP(AI72,'11. Lists'!$F$47:$G$51,2,FALSE))</f>
        <v/>
      </c>
      <c r="AK72" s="365"/>
      <c r="AL72" s="365"/>
      <c r="AM72" s="365"/>
      <c r="AN72" s="215" t="str">
        <f t="shared" si="31"/>
        <v/>
      </c>
      <c r="AO72" s="558" t="str">
        <f>IF(AN72="","",VLOOKUP(AN72,'11. Lists'!$F$36:$H$38,2,FALSE))</f>
        <v/>
      </c>
      <c r="AP72" s="380" t="str">
        <f>IF(AN72="","",VLOOKUP(AN72,'11. Lists'!$F$36:$H$38,3,FALSE))</f>
        <v/>
      </c>
      <c r="AQ72" s="379" t="str">
        <f>IF(D72="","",IF(AX72="Distinctiveness","N/A",VLOOKUP(F72,'10. Condition and Temporal'!$B$6:$L$103,11,FALSE)))</f>
        <v/>
      </c>
      <c r="AR72" s="382" t="str">
        <f>IF(AQ72="","",IF(AQ72="N/A","1",VLOOKUP(AQ72,'11. Lists'!$I$47:$K$80,3,FALSE)))</f>
        <v/>
      </c>
      <c r="AS72" s="562" t="str">
        <f>IF(D72="","",IF(AX72="Condition","N/A",VLOOKUP(F72,'10. Condition and Temporal'!$B$6:$M$106,12,FALSE)))</f>
        <v/>
      </c>
      <c r="AT72" s="382" t="str">
        <f>IF(AS72="","",IF(AS72="N/A","1",VLOOKUP(AS72,'11. Lists'!$I$47:$K$80,3,FALSE)))</f>
        <v/>
      </c>
      <c r="AU72" s="561" t="str">
        <f>IF(D72="","",VLOOKUP(F72,'9. All Habitats + Multipliers'!$C$4:$K$102,8,FALSE))</f>
        <v/>
      </c>
      <c r="AV72" s="380" t="str">
        <f>IF(AU72="","",VLOOKUP(AU72,'11. Lists'!$J$35:$K$38,2,FALSE))</f>
        <v/>
      </c>
      <c r="AW72" s="379" t="str">
        <f>IF(D72="","",VLOOKUP(D72,'10. Condition and Temporal'!$B$6:$M$103,4,FALSE))</f>
        <v/>
      </c>
      <c r="AX72" s="662" t="str">
        <f t="shared" si="32"/>
        <v/>
      </c>
      <c r="AY72" s="642" t="s">
        <v>280</v>
      </c>
      <c r="AZ72" s="663" t="s">
        <v>280</v>
      </c>
      <c r="BA72" s="214">
        <v>7.0</v>
      </c>
      <c r="BB72" s="215" t="str">
        <f t="shared" si="33"/>
        <v/>
      </c>
      <c r="BC72" s="215" t="str">
        <f t="shared" si="34"/>
        <v/>
      </c>
      <c r="BD72" s="215" t="str">
        <f t="shared" si="35"/>
        <v/>
      </c>
      <c r="BE72" s="215" t="str">
        <f t="shared" si="36"/>
        <v/>
      </c>
      <c r="BF72" s="215" t="str">
        <f t="shared" si="37"/>
        <v/>
      </c>
      <c r="BG72" s="215" t="str">
        <f t="shared" si="38"/>
        <v/>
      </c>
      <c r="BH72" s="215" t="str">
        <f t="shared" si="39"/>
        <v/>
      </c>
      <c r="BI72" s="215" t="str">
        <f t="shared" si="40"/>
        <v/>
      </c>
      <c r="BJ72" s="215" t="str">
        <f t="shared" si="41"/>
        <v/>
      </c>
      <c r="BK72" s="215" t="str">
        <f t="shared" si="42"/>
        <v/>
      </c>
      <c r="BL72" s="215" t="str">
        <f t="shared" si="43"/>
        <v/>
      </c>
      <c r="BM72" s="215" t="str">
        <f t="shared" si="44"/>
        <v/>
      </c>
      <c r="BN72" s="215" t="str">
        <f t="shared" si="45"/>
        <v/>
      </c>
      <c r="BO72" s="215" t="str">
        <f t="shared" si="46"/>
        <v/>
      </c>
      <c r="BP72" s="215" t="str">
        <f t="shared" si="47"/>
        <v/>
      </c>
      <c r="BQ72" s="215" t="str">
        <f t="shared" si="48"/>
        <v/>
      </c>
      <c r="BR72" s="215" t="str">
        <f t="shared" si="49"/>
        <v/>
      </c>
      <c r="BS72" s="215" t="str">
        <f t="shared" si="50"/>
        <v/>
      </c>
      <c r="BT72" s="215" t="str">
        <f t="shared" si="51"/>
        <v/>
      </c>
      <c r="BU72" s="211" t="str">
        <f t="shared" si="52"/>
        <v/>
      </c>
      <c r="BV72" s="212" t="str">
        <f t="shared" si="53"/>
        <v/>
      </c>
      <c r="BW72" s="215" t="s">
        <v>192</v>
      </c>
      <c r="BX72" s="215">
        <f>BH64</f>
        <v>0</v>
      </c>
    </row>
    <row r="73" ht="14.25" customHeight="1">
      <c r="A73" s="1"/>
      <c r="B73" s="221">
        <v>8.0</v>
      </c>
      <c r="C73" s="376" t="str">
        <f t="shared" si="15"/>
        <v/>
      </c>
      <c r="D73" s="352" t="str">
        <f t="shared" si="16"/>
        <v/>
      </c>
      <c r="E73" s="377" t="str">
        <f t="shared" si="17"/>
        <v/>
      </c>
      <c r="F73" s="222"/>
      <c r="G73" s="43"/>
      <c r="H73" s="354" t="str">
        <f t="shared" si="18"/>
        <v/>
      </c>
      <c r="I73" s="664" t="str">
        <f t="shared" si="19"/>
        <v/>
      </c>
      <c r="J73" s="665" t="str">
        <f>IF(F73="","",VLOOKUP(F73,'10. Condition and Temporal'!$B$6:$F$103,5,FALSE))</f>
        <v/>
      </c>
      <c r="K73" s="666"/>
      <c r="L73" s="505" t="str">
        <f t="shared" si="20"/>
        <v/>
      </c>
      <c r="M73" s="667" t="str">
        <f t="shared" si="21"/>
        <v/>
      </c>
      <c r="N73" s="43"/>
      <c r="O73" s="378"/>
      <c r="P73" s="300"/>
      <c r="Q73" s="1"/>
      <c r="R73" s="161"/>
      <c r="S73" s="1"/>
      <c r="T73" s="361" t="str">
        <f t="shared" si="22"/>
        <v/>
      </c>
      <c r="U73" s="379" t="str">
        <f t="shared" si="23"/>
        <v/>
      </c>
      <c r="V73" s="380" t="str">
        <f t="shared" ref="V73:X73" si="59">IF($D73="","",V18)</f>
        <v/>
      </c>
      <c r="W73" s="560" t="str">
        <f t="shared" si="59"/>
        <v/>
      </c>
      <c r="X73" s="214" t="str">
        <f t="shared" si="59"/>
        <v/>
      </c>
      <c r="Y73" s="365"/>
      <c r="Z73" s="365"/>
      <c r="AA73" s="365"/>
      <c r="AB73" s="211" t="str">
        <f t="shared" si="25"/>
        <v/>
      </c>
      <c r="AC73" s="561" t="str">
        <f t="shared" si="26"/>
        <v/>
      </c>
      <c r="AD73" s="380" t="str">
        <f t="shared" si="27"/>
        <v/>
      </c>
      <c r="AE73" s="559" t="str">
        <f t="shared" si="28"/>
        <v/>
      </c>
      <c r="AF73" s="560" t="str">
        <f t="shared" si="29"/>
        <v/>
      </c>
      <c r="AG73" s="379" t="str">
        <f>IF(D73="","",VLOOKUP(F73,'9. All Habitats + Multipliers'!$C$4:$K$102,5,FALSE))</f>
        <v/>
      </c>
      <c r="AH73" s="380" t="str">
        <f>IF(AG73="","",VLOOKUP(AG73,'11. Lists'!$B$47:$D$49,2,FALSE))</f>
        <v/>
      </c>
      <c r="AI73" s="379" t="str">
        <f t="shared" si="30"/>
        <v/>
      </c>
      <c r="AJ73" s="215" t="str">
        <f>IF(AI73="","",VLOOKUP(AI73,'11. Lists'!$F$47:$G$51,2,FALSE))</f>
        <v/>
      </c>
      <c r="AK73" s="365"/>
      <c r="AL73" s="365"/>
      <c r="AM73" s="365"/>
      <c r="AN73" s="215" t="str">
        <f t="shared" si="31"/>
        <v/>
      </c>
      <c r="AO73" s="558" t="str">
        <f>IF(AN73="","",VLOOKUP(AN73,'11. Lists'!$F$36:$H$38,2,FALSE))</f>
        <v/>
      </c>
      <c r="AP73" s="380" t="str">
        <f>IF(AN73="","",VLOOKUP(AN73,'11. Lists'!$F$36:$H$38,3,FALSE))</f>
        <v/>
      </c>
      <c r="AQ73" s="379" t="str">
        <f>IF(D73="","",IF(AX73="Distinctiveness","N/A",VLOOKUP(F73,'10. Condition and Temporal'!$B$6:$L$103,11,FALSE)))</f>
        <v/>
      </c>
      <c r="AR73" s="382" t="str">
        <f>IF(AQ73="","",IF(AQ73="N/A","1",VLOOKUP(AQ73,'11. Lists'!$I$47:$K$80,3,FALSE)))</f>
        <v/>
      </c>
      <c r="AS73" s="562" t="str">
        <f>IF(D73="","",IF(AX73="Condition","N/A",VLOOKUP(F73,'10. Condition and Temporal'!$B$6:$M$106,12,FALSE)))</f>
        <v/>
      </c>
      <c r="AT73" s="382" t="str">
        <f>IF(AS73="","",IF(AS73="N/A","1",VLOOKUP(AS73,'11. Lists'!$I$47:$K$80,3,FALSE)))</f>
        <v/>
      </c>
      <c r="AU73" s="561" t="str">
        <f>IF(D73="","",VLOOKUP(F73,'9. All Habitats + Multipliers'!$C$4:$K$102,8,FALSE))</f>
        <v/>
      </c>
      <c r="AV73" s="380" t="str">
        <f>IF(AU73="","",VLOOKUP(AU73,'11. Lists'!$J$35:$K$38,2,FALSE))</f>
        <v/>
      </c>
      <c r="AW73" s="379" t="str">
        <f>IF(D73="","",VLOOKUP(D73,'10. Condition and Temporal'!$B$6:$M$103,4,FALSE))</f>
        <v/>
      </c>
      <c r="AX73" s="662" t="str">
        <f t="shared" si="32"/>
        <v/>
      </c>
      <c r="AY73" s="642" t="s">
        <v>280</v>
      </c>
      <c r="AZ73" s="663" t="s">
        <v>280</v>
      </c>
      <c r="BA73" s="214">
        <v>8.0</v>
      </c>
      <c r="BB73" s="215" t="str">
        <f t="shared" si="33"/>
        <v/>
      </c>
      <c r="BC73" s="215" t="str">
        <f t="shared" si="34"/>
        <v/>
      </c>
      <c r="BD73" s="215" t="str">
        <f t="shared" si="35"/>
        <v/>
      </c>
      <c r="BE73" s="215" t="str">
        <f t="shared" si="36"/>
        <v/>
      </c>
      <c r="BF73" s="215" t="str">
        <f t="shared" si="37"/>
        <v/>
      </c>
      <c r="BG73" s="215" t="str">
        <f t="shared" si="38"/>
        <v/>
      </c>
      <c r="BH73" s="215" t="str">
        <f t="shared" si="39"/>
        <v/>
      </c>
      <c r="BI73" s="215" t="str">
        <f t="shared" si="40"/>
        <v/>
      </c>
      <c r="BJ73" s="215" t="str">
        <f t="shared" si="41"/>
        <v/>
      </c>
      <c r="BK73" s="215" t="str">
        <f t="shared" si="42"/>
        <v/>
      </c>
      <c r="BL73" s="215" t="str">
        <f t="shared" si="43"/>
        <v/>
      </c>
      <c r="BM73" s="215" t="str">
        <f t="shared" si="44"/>
        <v/>
      </c>
      <c r="BN73" s="215" t="str">
        <f t="shared" si="45"/>
        <v/>
      </c>
      <c r="BO73" s="215" t="str">
        <f t="shared" si="46"/>
        <v/>
      </c>
      <c r="BP73" s="215" t="str">
        <f t="shared" si="47"/>
        <v/>
      </c>
      <c r="BQ73" s="215" t="str">
        <f t="shared" si="48"/>
        <v/>
      </c>
      <c r="BR73" s="215" t="str">
        <f t="shared" si="49"/>
        <v/>
      </c>
      <c r="BS73" s="215" t="str">
        <f t="shared" si="50"/>
        <v/>
      </c>
      <c r="BT73" s="215" t="str">
        <f t="shared" si="51"/>
        <v/>
      </c>
      <c r="BU73" s="211" t="str">
        <f t="shared" si="52"/>
        <v/>
      </c>
      <c r="BV73" s="212" t="str">
        <f t="shared" si="53"/>
        <v/>
      </c>
      <c r="BW73" s="215" t="s">
        <v>193</v>
      </c>
      <c r="BX73" s="215">
        <f>BI64</f>
        <v>0</v>
      </c>
    </row>
    <row r="74" ht="15.75" customHeight="1">
      <c r="A74" s="1"/>
      <c r="B74" s="221">
        <v>9.0</v>
      </c>
      <c r="C74" s="376" t="str">
        <f t="shared" si="15"/>
        <v/>
      </c>
      <c r="D74" s="352" t="str">
        <f t="shared" si="16"/>
        <v/>
      </c>
      <c r="E74" s="377" t="str">
        <f t="shared" si="17"/>
        <v/>
      </c>
      <c r="F74" s="222"/>
      <c r="G74" s="43"/>
      <c r="H74" s="354" t="str">
        <f t="shared" si="18"/>
        <v/>
      </c>
      <c r="I74" s="664" t="str">
        <f t="shared" si="19"/>
        <v/>
      </c>
      <c r="J74" s="665" t="str">
        <f>IF(F74="","",VLOOKUP(F74,'10. Condition and Temporal'!$B$6:$F$103,5,FALSE))</f>
        <v/>
      </c>
      <c r="K74" s="666"/>
      <c r="L74" s="505" t="str">
        <f t="shared" si="20"/>
        <v/>
      </c>
      <c r="M74" s="667" t="str">
        <f t="shared" si="21"/>
        <v/>
      </c>
      <c r="N74" s="43"/>
      <c r="O74" s="378"/>
      <c r="P74" s="300"/>
      <c r="Q74" s="1"/>
      <c r="R74" s="161"/>
      <c r="S74" s="1"/>
      <c r="T74" s="361" t="str">
        <f t="shared" si="22"/>
        <v/>
      </c>
      <c r="U74" s="379" t="str">
        <f t="shared" si="23"/>
        <v/>
      </c>
      <c r="V74" s="380" t="str">
        <f t="shared" ref="V74:X74" si="60">IF($D74="","",V19)</f>
        <v/>
      </c>
      <c r="W74" s="560" t="str">
        <f t="shared" si="60"/>
        <v/>
      </c>
      <c r="X74" s="214" t="str">
        <f t="shared" si="60"/>
        <v/>
      </c>
      <c r="Y74" s="365"/>
      <c r="Z74" s="365"/>
      <c r="AA74" s="365"/>
      <c r="AB74" s="211" t="str">
        <f t="shared" si="25"/>
        <v/>
      </c>
      <c r="AC74" s="561" t="str">
        <f t="shared" si="26"/>
        <v/>
      </c>
      <c r="AD74" s="380" t="str">
        <f t="shared" si="27"/>
        <v/>
      </c>
      <c r="AE74" s="559" t="str">
        <f t="shared" si="28"/>
        <v/>
      </c>
      <c r="AF74" s="560" t="str">
        <f t="shared" si="29"/>
        <v/>
      </c>
      <c r="AG74" s="379" t="str">
        <f>IF(D74="","",VLOOKUP(F74,'9. All Habitats + Multipliers'!$C$4:$K$102,5,FALSE))</f>
        <v/>
      </c>
      <c r="AH74" s="380" t="str">
        <f>IF(AG74="","",VLOOKUP(AG74,'11. Lists'!$B$47:$D$49,2,FALSE))</f>
        <v/>
      </c>
      <c r="AI74" s="379" t="str">
        <f t="shared" si="30"/>
        <v/>
      </c>
      <c r="AJ74" s="215" t="str">
        <f>IF(AI74="","",VLOOKUP(AI74,'11. Lists'!$F$47:$G$51,2,FALSE))</f>
        <v/>
      </c>
      <c r="AK74" s="365"/>
      <c r="AL74" s="365"/>
      <c r="AM74" s="365"/>
      <c r="AN74" s="215" t="str">
        <f t="shared" si="31"/>
        <v/>
      </c>
      <c r="AO74" s="558" t="str">
        <f>IF(AN74="","",VLOOKUP(AN74,'11. Lists'!$F$36:$H$38,2,FALSE))</f>
        <v/>
      </c>
      <c r="AP74" s="380" t="str">
        <f>IF(AN74="","",VLOOKUP(AN74,'11. Lists'!$F$36:$H$38,3,FALSE))</f>
        <v/>
      </c>
      <c r="AQ74" s="379" t="str">
        <f>IF(D74="","",IF(AX74="Distinctiveness","N/A",VLOOKUP(F74,'10. Condition and Temporal'!$B$6:$L$103,11,FALSE)))</f>
        <v/>
      </c>
      <c r="AR74" s="382" t="str">
        <f>IF(AQ74="","",IF(AQ74="N/A","1",VLOOKUP(AQ74,'11. Lists'!$I$47:$K$80,3,FALSE)))</f>
        <v/>
      </c>
      <c r="AS74" s="562" t="str">
        <f>IF(D74="","",IF(AX74="Condition","N/A",VLOOKUP(F74,'10. Condition and Temporal'!$B$6:$M$106,12,FALSE)))</f>
        <v/>
      </c>
      <c r="AT74" s="382" t="str">
        <f>IF(AS74="","",IF(AS74="N/A","1",VLOOKUP(AS74,'11. Lists'!$I$47:$K$80,3,FALSE)))</f>
        <v/>
      </c>
      <c r="AU74" s="561" t="str">
        <f>IF(D74="","",VLOOKUP(F74,'9. All Habitats + Multipliers'!$C$4:$K$102,8,FALSE))</f>
        <v/>
      </c>
      <c r="AV74" s="380" t="str">
        <f>IF(AU74="","",VLOOKUP(AU74,'11. Lists'!$J$35:$K$38,2,FALSE))</f>
        <v/>
      </c>
      <c r="AW74" s="379" t="str">
        <f>IF(D74="","",VLOOKUP(D74,'10. Condition and Temporal'!$B$6:$M$103,4,FALSE))</f>
        <v/>
      </c>
      <c r="AX74" s="662" t="str">
        <f t="shared" si="32"/>
        <v/>
      </c>
      <c r="AY74" s="642" t="s">
        <v>280</v>
      </c>
      <c r="AZ74" s="663" t="s">
        <v>280</v>
      </c>
      <c r="BA74" s="214">
        <v>9.0</v>
      </c>
      <c r="BB74" s="215" t="str">
        <f t="shared" si="33"/>
        <v/>
      </c>
      <c r="BC74" s="215" t="str">
        <f t="shared" si="34"/>
        <v/>
      </c>
      <c r="BD74" s="215" t="str">
        <f t="shared" si="35"/>
        <v/>
      </c>
      <c r="BE74" s="215" t="str">
        <f t="shared" si="36"/>
        <v/>
      </c>
      <c r="BF74" s="215" t="str">
        <f t="shared" si="37"/>
        <v/>
      </c>
      <c r="BG74" s="215" t="str">
        <f t="shared" si="38"/>
        <v/>
      </c>
      <c r="BH74" s="215" t="str">
        <f t="shared" si="39"/>
        <v/>
      </c>
      <c r="BI74" s="215" t="str">
        <f t="shared" si="40"/>
        <v/>
      </c>
      <c r="BJ74" s="215" t="str">
        <f t="shared" si="41"/>
        <v/>
      </c>
      <c r="BK74" s="215" t="str">
        <f t="shared" si="42"/>
        <v/>
      </c>
      <c r="BL74" s="215" t="str">
        <f t="shared" si="43"/>
        <v/>
      </c>
      <c r="BM74" s="215" t="str">
        <f t="shared" si="44"/>
        <v/>
      </c>
      <c r="BN74" s="215" t="str">
        <f t="shared" si="45"/>
        <v/>
      </c>
      <c r="BO74" s="215" t="str">
        <f t="shared" si="46"/>
        <v/>
      </c>
      <c r="BP74" s="215" t="str">
        <f t="shared" si="47"/>
        <v/>
      </c>
      <c r="BQ74" s="215" t="str">
        <f t="shared" si="48"/>
        <v/>
      </c>
      <c r="BR74" s="215" t="str">
        <f t="shared" si="49"/>
        <v/>
      </c>
      <c r="BS74" s="215" t="str">
        <f t="shared" si="50"/>
        <v/>
      </c>
      <c r="BT74" s="215" t="str">
        <f t="shared" si="51"/>
        <v/>
      </c>
      <c r="BU74" s="211" t="str">
        <f t="shared" si="52"/>
        <v/>
      </c>
      <c r="BV74" s="212" t="str">
        <f t="shared" si="53"/>
        <v/>
      </c>
      <c r="BW74" s="215" t="s">
        <v>194</v>
      </c>
      <c r="BX74" s="215">
        <f>BJ64</f>
        <v>0</v>
      </c>
    </row>
    <row r="75" ht="15.75" customHeight="1">
      <c r="A75" s="1"/>
      <c r="B75" s="221">
        <v>10.0</v>
      </c>
      <c r="C75" s="376" t="str">
        <f t="shared" si="15"/>
        <v/>
      </c>
      <c r="D75" s="352" t="str">
        <f t="shared" si="16"/>
        <v/>
      </c>
      <c r="E75" s="377" t="str">
        <f t="shared" si="17"/>
        <v/>
      </c>
      <c r="F75" s="222"/>
      <c r="G75" s="43"/>
      <c r="H75" s="354" t="str">
        <f t="shared" si="18"/>
        <v/>
      </c>
      <c r="I75" s="664" t="str">
        <f t="shared" si="19"/>
        <v/>
      </c>
      <c r="J75" s="665" t="str">
        <f>IF(F75="","",VLOOKUP(F75,'10. Condition and Temporal'!$B$6:$F$103,5,FALSE))</f>
        <v/>
      </c>
      <c r="K75" s="666"/>
      <c r="L75" s="505" t="str">
        <f t="shared" si="20"/>
        <v/>
      </c>
      <c r="M75" s="667" t="str">
        <f t="shared" si="21"/>
        <v/>
      </c>
      <c r="N75" s="43"/>
      <c r="O75" s="378"/>
      <c r="P75" s="300"/>
      <c r="Q75" s="1"/>
      <c r="R75" s="161"/>
      <c r="S75" s="1"/>
      <c r="T75" s="361" t="str">
        <f t="shared" si="22"/>
        <v/>
      </c>
      <c r="U75" s="379" t="str">
        <f t="shared" si="23"/>
        <v/>
      </c>
      <c r="V75" s="380" t="str">
        <f t="shared" ref="V75:X75" si="61">IF($D75="","",V20)</f>
        <v/>
      </c>
      <c r="W75" s="560" t="str">
        <f t="shared" si="61"/>
        <v/>
      </c>
      <c r="X75" s="214" t="str">
        <f t="shared" si="61"/>
        <v/>
      </c>
      <c r="Y75" s="365"/>
      <c r="Z75" s="365"/>
      <c r="AA75" s="365"/>
      <c r="AB75" s="211" t="str">
        <f t="shared" si="25"/>
        <v/>
      </c>
      <c r="AC75" s="561" t="str">
        <f t="shared" si="26"/>
        <v/>
      </c>
      <c r="AD75" s="380" t="str">
        <f t="shared" si="27"/>
        <v/>
      </c>
      <c r="AE75" s="559" t="str">
        <f t="shared" si="28"/>
        <v/>
      </c>
      <c r="AF75" s="560" t="str">
        <f t="shared" si="29"/>
        <v/>
      </c>
      <c r="AG75" s="379" t="str">
        <f>IF(D75="","",VLOOKUP(F75,'9. All Habitats + Multipliers'!$C$4:$K$102,5,FALSE))</f>
        <v/>
      </c>
      <c r="AH75" s="380" t="str">
        <f>IF(AG75="","",VLOOKUP(AG75,'11. Lists'!$B$47:$D$49,2,FALSE))</f>
        <v/>
      </c>
      <c r="AI75" s="379" t="str">
        <f t="shared" si="30"/>
        <v/>
      </c>
      <c r="AJ75" s="215" t="str">
        <f>IF(AI75="","",VLOOKUP(AI75,'11. Lists'!$F$47:$G$51,2,FALSE))</f>
        <v/>
      </c>
      <c r="AK75" s="365"/>
      <c r="AL75" s="365"/>
      <c r="AM75" s="365"/>
      <c r="AN75" s="215" t="str">
        <f t="shared" si="31"/>
        <v/>
      </c>
      <c r="AO75" s="558" t="str">
        <f>IF(AN75="","",VLOOKUP(AN75,'11. Lists'!$F$36:$H$38,2,FALSE))</f>
        <v/>
      </c>
      <c r="AP75" s="380" t="str">
        <f>IF(AN75="","",VLOOKUP(AN75,'11. Lists'!$F$36:$H$38,3,FALSE))</f>
        <v/>
      </c>
      <c r="AQ75" s="379" t="str">
        <f>IF(D75="","",IF(AX75="Distinctiveness","N/A",VLOOKUP(F75,'10. Condition and Temporal'!$B$6:$L$103,11,FALSE)))</f>
        <v/>
      </c>
      <c r="AR75" s="382" t="str">
        <f>IF(AQ75="","",IF(AQ75="N/A","1",VLOOKUP(AQ75,'11. Lists'!$I$47:$K$80,3,FALSE)))</f>
        <v/>
      </c>
      <c r="AS75" s="562" t="str">
        <f>IF(D75="","",IF(AX75="Condition","N/A",VLOOKUP(F75,'10. Condition and Temporal'!$B$6:$M$106,12,FALSE)))</f>
        <v/>
      </c>
      <c r="AT75" s="382" t="str">
        <f>IF(AS75="","",IF(AS75="N/A","1",VLOOKUP(AS75,'11. Lists'!$I$47:$K$80,3,FALSE)))</f>
        <v/>
      </c>
      <c r="AU75" s="561" t="str">
        <f>IF(D75="","",VLOOKUP(F75,'9. All Habitats + Multipliers'!$C$4:$K$102,8,FALSE))</f>
        <v/>
      </c>
      <c r="AV75" s="380" t="str">
        <f>IF(AU75="","",VLOOKUP(AU75,'11. Lists'!$J$35:$K$38,2,FALSE))</f>
        <v/>
      </c>
      <c r="AW75" s="379" t="str">
        <f>IF(D75="","",VLOOKUP(D75,'10. Condition and Temporal'!$B$6:$M$103,4,FALSE))</f>
        <v/>
      </c>
      <c r="AX75" s="662" t="str">
        <f t="shared" si="32"/>
        <v/>
      </c>
      <c r="AY75" s="642" t="s">
        <v>280</v>
      </c>
      <c r="AZ75" s="663" t="s">
        <v>280</v>
      </c>
      <c r="BA75" s="214">
        <v>10.0</v>
      </c>
      <c r="BB75" s="215" t="str">
        <f t="shared" si="33"/>
        <v/>
      </c>
      <c r="BC75" s="215" t="str">
        <f t="shared" si="34"/>
        <v/>
      </c>
      <c r="BD75" s="215" t="str">
        <f t="shared" si="35"/>
        <v/>
      </c>
      <c r="BE75" s="215" t="str">
        <f t="shared" si="36"/>
        <v/>
      </c>
      <c r="BF75" s="215" t="str">
        <f t="shared" si="37"/>
        <v/>
      </c>
      <c r="BG75" s="215" t="str">
        <f t="shared" si="38"/>
        <v/>
      </c>
      <c r="BH75" s="215" t="str">
        <f t="shared" si="39"/>
        <v/>
      </c>
      <c r="BI75" s="215" t="str">
        <f t="shared" si="40"/>
        <v/>
      </c>
      <c r="BJ75" s="215" t="str">
        <f t="shared" si="41"/>
        <v/>
      </c>
      <c r="BK75" s="215" t="str">
        <f t="shared" si="42"/>
        <v/>
      </c>
      <c r="BL75" s="215" t="str">
        <f t="shared" si="43"/>
        <v/>
      </c>
      <c r="BM75" s="215" t="str">
        <f t="shared" si="44"/>
        <v/>
      </c>
      <c r="BN75" s="215" t="str">
        <f t="shared" si="45"/>
        <v/>
      </c>
      <c r="BO75" s="215" t="str">
        <f t="shared" si="46"/>
        <v/>
      </c>
      <c r="BP75" s="215" t="str">
        <f t="shared" si="47"/>
        <v/>
      </c>
      <c r="BQ75" s="215" t="str">
        <f t="shared" si="48"/>
        <v/>
      </c>
      <c r="BR75" s="215" t="str">
        <f t="shared" si="49"/>
        <v/>
      </c>
      <c r="BS75" s="215" t="str">
        <f t="shared" si="50"/>
        <v/>
      </c>
      <c r="BT75" s="215" t="str">
        <f t="shared" si="51"/>
        <v/>
      </c>
      <c r="BU75" s="211" t="str">
        <f t="shared" si="52"/>
        <v/>
      </c>
      <c r="BV75" s="212" t="str">
        <f t="shared" si="53"/>
        <v/>
      </c>
      <c r="BW75" s="215" t="s">
        <v>195</v>
      </c>
      <c r="BX75" s="215">
        <f>BK64</f>
        <v>0</v>
      </c>
    </row>
    <row r="76" ht="14.25" customHeight="1">
      <c r="A76" s="1"/>
      <c r="B76" s="221">
        <v>11.0</v>
      </c>
      <c r="C76" s="376" t="str">
        <f t="shared" si="15"/>
        <v/>
      </c>
      <c r="D76" s="352" t="str">
        <f t="shared" si="16"/>
        <v/>
      </c>
      <c r="E76" s="377" t="str">
        <f t="shared" si="17"/>
        <v/>
      </c>
      <c r="F76" s="222"/>
      <c r="G76" s="43"/>
      <c r="H76" s="354" t="str">
        <f t="shared" si="18"/>
        <v/>
      </c>
      <c r="I76" s="664" t="str">
        <f t="shared" si="19"/>
        <v/>
      </c>
      <c r="J76" s="665" t="str">
        <f>IF(F76="","",VLOOKUP(F76,'10. Condition and Temporal'!$B$6:$F$103,5,FALSE))</f>
        <v/>
      </c>
      <c r="K76" s="666"/>
      <c r="L76" s="505" t="str">
        <f t="shared" si="20"/>
        <v/>
      </c>
      <c r="M76" s="667" t="str">
        <f t="shared" si="21"/>
        <v/>
      </c>
      <c r="N76" s="43"/>
      <c r="O76" s="378"/>
      <c r="P76" s="300"/>
      <c r="Q76" s="1"/>
      <c r="R76" s="161"/>
      <c r="S76" s="1"/>
      <c r="T76" s="361" t="str">
        <f t="shared" si="22"/>
        <v/>
      </c>
      <c r="U76" s="379" t="str">
        <f t="shared" si="23"/>
        <v/>
      </c>
      <c r="V76" s="380" t="str">
        <f t="shared" ref="V76:X76" si="62">IF($D76="","",V21)</f>
        <v/>
      </c>
      <c r="W76" s="560" t="str">
        <f t="shared" si="62"/>
        <v/>
      </c>
      <c r="X76" s="214" t="str">
        <f t="shared" si="62"/>
        <v/>
      </c>
      <c r="Y76" s="365"/>
      <c r="Z76" s="365"/>
      <c r="AA76" s="365"/>
      <c r="AB76" s="211" t="str">
        <f t="shared" si="25"/>
        <v/>
      </c>
      <c r="AC76" s="561" t="str">
        <f t="shared" si="26"/>
        <v/>
      </c>
      <c r="AD76" s="380" t="str">
        <f t="shared" si="27"/>
        <v/>
      </c>
      <c r="AE76" s="559" t="str">
        <f t="shared" si="28"/>
        <v/>
      </c>
      <c r="AF76" s="560" t="str">
        <f t="shared" si="29"/>
        <v/>
      </c>
      <c r="AG76" s="379" t="str">
        <f>IF(D76="","",VLOOKUP(F76,'9. All Habitats + Multipliers'!$C$4:$K$102,5,FALSE))</f>
        <v/>
      </c>
      <c r="AH76" s="380" t="str">
        <f>IF(AG76="","",VLOOKUP(AG76,'11. Lists'!$B$47:$D$49,2,FALSE))</f>
        <v/>
      </c>
      <c r="AI76" s="379" t="str">
        <f t="shared" si="30"/>
        <v/>
      </c>
      <c r="AJ76" s="215" t="str">
        <f>IF(AI76="","",VLOOKUP(AI76,'11. Lists'!$F$47:$G$51,2,FALSE))</f>
        <v/>
      </c>
      <c r="AK76" s="365"/>
      <c r="AL76" s="365"/>
      <c r="AM76" s="365"/>
      <c r="AN76" s="215" t="str">
        <f t="shared" si="31"/>
        <v/>
      </c>
      <c r="AO76" s="558" t="str">
        <f>IF(AN76="","",VLOOKUP(AN76,'11. Lists'!$F$36:$H$38,2,FALSE))</f>
        <v/>
      </c>
      <c r="AP76" s="380" t="str">
        <f>IF(AN76="","",VLOOKUP(AN76,'11. Lists'!$F$36:$H$38,3,FALSE))</f>
        <v/>
      </c>
      <c r="AQ76" s="379" t="str">
        <f>IF(D76="","",IF(AX76="Distinctiveness","N/A",VLOOKUP(F76,'10. Condition and Temporal'!$B$6:$L$103,11,FALSE)))</f>
        <v/>
      </c>
      <c r="AR76" s="382" t="str">
        <f>IF(AQ76="","",IF(AQ76="N/A","1",VLOOKUP(AQ76,'11. Lists'!$I$47:$K$80,3,FALSE)))</f>
        <v/>
      </c>
      <c r="AS76" s="562" t="str">
        <f>IF(D76="","",IF(AX76="Condition","N/A",VLOOKUP(F76,'10. Condition and Temporal'!$B$6:$M$106,12,FALSE)))</f>
        <v/>
      </c>
      <c r="AT76" s="382" t="str">
        <f>IF(AS76="","",IF(AS76="N/A","1",VLOOKUP(AS76,'11. Lists'!$I$47:$K$80,3,FALSE)))</f>
        <v/>
      </c>
      <c r="AU76" s="561" t="str">
        <f>IF(D76="","",VLOOKUP(F76,'9. All Habitats + Multipliers'!$C$4:$K$102,8,FALSE))</f>
        <v/>
      </c>
      <c r="AV76" s="380" t="str">
        <f>IF(AU76="","",VLOOKUP(AU76,'11. Lists'!$J$35:$K$38,2,FALSE))</f>
        <v/>
      </c>
      <c r="AW76" s="379" t="str">
        <f>IF(D76="","",VLOOKUP(D76,'10. Condition and Temporal'!$B$6:$M$103,4,FALSE))</f>
        <v/>
      </c>
      <c r="AX76" s="662" t="str">
        <f t="shared" si="32"/>
        <v/>
      </c>
      <c r="AY76" s="642" t="s">
        <v>280</v>
      </c>
      <c r="AZ76" s="663" t="s">
        <v>280</v>
      </c>
      <c r="BA76" s="214">
        <v>11.0</v>
      </c>
      <c r="BB76" s="215" t="str">
        <f t="shared" si="33"/>
        <v/>
      </c>
      <c r="BC76" s="215" t="str">
        <f t="shared" si="34"/>
        <v/>
      </c>
      <c r="BD76" s="215" t="str">
        <f t="shared" si="35"/>
        <v/>
      </c>
      <c r="BE76" s="215" t="str">
        <f t="shared" si="36"/>
        <v/>
      </c>
      <c r="BF76" s="215" t="str">
        <f t="shared" si="37"/>
        <v/>
      </c>
      <c r="BG76" s="215" t="str">
        <f t="shared" si="38"/>
        <v/>
      </c>
      <c r="BH76" s="215" t="str">
        <f t="shared" si="39"/>
        <v/>
      </c>
      <c r="BI76" s="215" t="str">
        <f t="shared" si="40"/>
        <v/>
      </c>
      <c r="BJ76" s="215" t="str">
        <f t="shared" si="41"/>
        <v/>
      </c>
      <c r="BK76" s="215" t="str">
        <f t="shared" si="42"/>
        <v/>
      </c>
      <c r="BL76" s="215" t="str">
        <f t="shared" si="43"/>
        <v/>
      </c>
      <c r="BM76" s="215" t="str">
        <f t="shared" si="44"/>
        <v/>
      </c>
      <c r="BN76" s="215" t="str">
        <f t="shared" si="45"/>
        <v/>
      </c>
      <c r="BO76" s="215" t="str">
        <f t="shared" si="46"/>
        <v/>
      </c>
      <c r="BP76" s="215" t="str">
        <f t="shared" si="47"/>
        <v/>
      </c>
      <c r="BQ76" s="215" t="str">
        <f t="shared" si="48"/>
        <v/>
      </c>
      <c r="BR76" s="215" t="str">
        <f t="shared" si="49"/>
        <v/>
      </c>
      <c r="BS76" s="215" t="str">
        <f t="shared" si="50"/>
        <v/>
      </c>
      <c r="BT76" s="215" t="str">
        <f t="shared" si="51"/>
        <v/>
      </c>
      <c r="BU76" s="211" t="str">
        <f t="shared" si="52"/>
        <v/>
      </c>
      <c r="BV76" s="212" t="str">
        <f t="shared" si="53"/>
        <v/>
      </c>
      <c r="BW76" s="215" t="s">
        <v>196</v>
      </c>
      <c r="BX76" s="215">
        <f>BL64</f>
        <v>0</v>
      </c>
    </row>
    <row r="77" ht="15.75" customHeight="1">
      <c r="A77" s="1"/>
      <c r="B77" s="221">
        <v>12.0</v>
      </c>
      <c r="C77" s="376" t="str">
        <f t="shared" si="15"/>
        <v/>
      </c>
      <c r="D77" s="352" t="str">
        <f t="shared" si="16"/>
        <v/>
      </c>
      <c r="E77" s="377" t="str">
        <f t="shared" si="17"/>
        <v/>
      </c>
      <c r="F77" s="222"/>
      <c r="G77" s="43"/>
      <c r="H77" s="354" t="str">
        <f t="shared" si="18"/>
        <v/>
      </c>
      <c r="I77" s="664" t="str">
        <f t="shared" si="19"/>
        <v/>
      </c>
      <c r="J77" s="665" t="str">
        <f>IF(F77="","",VLOOKUP(F77,'10. Condition and Temporal'!$B$6:$F$103,5,FALSE))</f>
        <v/>
      </c>
      <c r="K77" s="666"/>
      <c r="L77" s="505" t="str">
        <f t="shared" si="20"/>
        <v/>
      </c>
      <c r="M77" s="667" t="str">
        <f t="shared" si="21"/>
        <v/>
      </c>
      <c r="N77" s="43"/>
      <c r="O77" s="378"/>
      <c r="P77" s="300"/>
      <c r="Q77" s="1"/>
      <c r="R77" s="161"/>
      <c r="S77" s="1"/>
      <c r="T77" s="361" t="str">
        <f t="shared" si="22"/>
        <v/>
      </c>
      <c r="U77" s="379" t="str">
        <f t="shared" si="23"/>
        <v/>
      </c>
      <c r="V77" s="380" t="str">
        <f t="shared" ref="V77:X77" si="63">IF($D77="","",V22)</f>
        <v/>
      </c>
      <c r="W77" s="560" t="str">
        <f t="shared" si="63"/>
        <v/>
      </c>
      <c r="X77" s="214" t="str">
        <f t="shared" si="63"/>
        <v/>
      </c>
      <c r="Y77" s="365"/>
      <c r="Z77" s="365"/>
      <c r="AA77" s="365"/>
      <c r="AB77" s="211" t="str">
        <f t="shared" si="25"/>
        <v/>
      </c>
      <c r="AC77" s="561" t="str">
        <f t="shared" si="26"/>
        <v/>
      </c>
      <c r="AD77" s="380" t="str">
        <f t="shared" si="27"/>
        <v/>
      </c>
      <c r="AE77" s="559" t="str">
        <f t="shared" si="28"/>
        <v/>
      </c>
      <c r="AF77" s="560" t="str">
        <f t="shared" si="29"/>
        <v/>
      </c>
      <c r="AG77" s="379" t="str">
        <f>IF(D77="","",VLOOKUP(F77,'9. All Habitats + Multipliers'!$C$4:$K$102,5,FALSE))</f>
        <v/>
      </c>
      <c r="AH77" s="380" t="str">
        <f>IF(AG77="","",VLOOKUP(AG77,'11. Lists'!$B$47:$D$49,2,FALSE))</f>
        <v/>
      </c>
      <c r="AI77" s="379" t="str">
        <f t="shared" si="30"/>
        <v/>
      </c>
      <c r="AJ77" s="215" t="str">
        <f>IF(AI77="","",VLOOKUP(AI77,'11. Lists'!$F$47:$G$51,2,FALSE))</f>
        <v/>
      </c>
      <c r="AK77" s="365"/>
      <c r="AL77" s="365"/>
      <c r="AM77" s="365"/>
      <c r="AN77" s="215" t="str">
        <f t="shared" si="31"/>
        <v/>
      </c>
      <c r="AO77" s="558" t="str">
        <f>IF(AN77="","",VLOOKUP(AN77,'11. Lists'!$F$36:$H$38,2,FALSE))</f>
        <v/>
      </c>
      <c r="AP77" s="380" t="str">
        <f>IF(AN77="","",VLOOKUP(AN77,'11. Lists'!$F$36:$H$38,3,FALSE))</f>
        <v/>
      </c>
      <c r="AQ77" s="379" t="str">
        <f>IF(D77="","",IF(AX77="Distinctiveness","N/A",VLOOKUP(F77,'10. Condition and Temporal'!$B$6:$L$103,11,FALSE)))</f>
        <v/>
      </c>
      <c r="AR77" s="382" t="str">
        <f>IF(AQ77="","",IF(AQ77="N/A","1",VLOOKUP(AQ77,'11. Lists'!$I$47:$K$80,3,FALSE)))</f>
        <v/>
      </c>
      <c r="AS77" s="562" t="str">
        <f>IF(D77="","",IF(AX77="Condition","N/A",VLOOKUP(F77,'10. Condition and Temporal'!$B$6:$M$106,12,FALSE)))</f>
        <v/>
      </c>
      <c r="AT77" s="382" t="str">
        <f>IF(AS77="","",IF(AS77="N/A","1",VLOOKUP(AS77,'11. Lists'!$I$47:$K$80,3,FALSE)))</f>
        <v/>
      </c>
      <c r="AU77" s="561" t="str">
        <f>IF(D77="","",VLOOKUP(F77,'9. All Habitats + Multipliers'!$C$4:$K$102,8,FALSE))</f>
        <v/>
      </c>
      <c r="AV77" s="380" t="str">
        <f>IF(AU77="","",VLOOKUP(AU77,'11. Lists'!$J$35:$K$38,2,FALSE))</f>
        <v/>
      </c>
      <c r="AW77" s="379" t="str">
        <f>IF(D77="","",VLOOKUP(D77,'10. Condition and Temporal'!$B$6:$M$103,4,FALSE))</f>
        <v/>
      </c>
      <c r="AX77" s="662" t="str">
        <f t="shared" si="32"/>
        <v/>
      </c>
      <c r="AY77" s="642" t="s">
        <v>280</v>
      </c>
      <c r="AZ77" s="663" t="s">
        <v>280</v>
      </c>
      <c r="BA77" s="214">
        <v>12.0</v>
      </c>
      <c r="BB77" s="215" t="str">
        <f t="shared" si="33"/>
        <v/>
      </c>
      <c r="BC77" s="215" t="str">
        <f t="shared" si="34"/>
        <v/>
      </c>
      <c r="BD77" s="215" t="str">
        <f t="shared" si="35"/>
        <v/>
      </c>
      <c r="BE77" s="215" t="str">
        <f t="shared" si="36"/>
        <v/>
      </c>
      <c r="BF77" s="215" t="str">
        <f t="shared" si="37"/>
        <v/>
      </c>
      <c r="BG77" s="215" t="str">
        <f t="shared" si="38"/>
        <v/>
      </c>
      <c r="BH77" s="215" t="str">
        <f t="shared" si="39"/>
        <v/>
      </c>
      <c r="BI77" s="215" t="str">
        <f t="shared" si="40"/>
        <v/>
      </c>
      <c r="BJ77" s="215" t="str">
        <f t="shared" si="41"/>
        <v/>
      </c>
      <c r="BK77" s="215" t="str">
        <f t="shared" si="42"/>
        <v/>
      </c>
      <c r="BL77" s="215" t="str">
        <f t="shared" si="43"/>
        <v/>
      </c>
      <c r="BM77" s="215" t="str">
        <f t="shared" si="44"/>
        <v/>
      </c>
      <c r="BN77" s="215" t="str">
        <f t="shared" si="45"/>
        <v/>
      </c>
      <c r="BO77" s="215" t="str">
        <f t="shared" si="46"/>
        <v/>
      </c>
      <c r="BP77" s="215" t="str">
        <f t="shared" si="47"/>
        <v/>
      </c>
      <c r="BQ77" s="215" t="str">
        <f t="shared" si="48"/>
        <v/>
      </c>
      <c r="BR77" s="215" t="str">
        <f t="shared" si="49"/>
        <v/>
      </c>
      <c r="BS77" s="215" t="str">
        <f t="shared" si="50"/>
        <v/>
      </c>
      <c r="BT77" s="215" t="str">
        <f t="shared" si="51"/>
        <v/>
      </c>
      <c r="BU77" s="211" t="str">
        <f t="shared" si="52"/>
        <v/>
      </c>
      <c r="BV77" s="212" t="str">
        <f t="shared" si="53"/>
        <v/>
      </c>
      <c r="BW77" s="215" t="s">
        <v>197</v>
      </c>
      <c r="BX77" s="215">
        <f>BM64</f>
        <v>0</v>
      </c>
    </row>
    <row r="78" ht="15.75" customHeight="1">
      <c r="A78" s="1"/>
      <c r="B78" s="221">
        <v>13.0</v>
      </c>
      <c r="C78" s="376" t="str">
        <f t="shared" si="15"/>
        <v/>
      </c>
      <c r="D78" s="352" t="str">
        <f t="shared" si="16"/>
        <v/>
      </c>
      <c r="E78" s="377" t="str">
        <f t="shared" si="17"/>
        <v/>
      </c>
      <c r="F78" s="222"/>
      <c r="G78" s="43"/>
      <c r="H78" s="354" t="str">
        <f t="shared" si="18"/>
        <v/>
      </c>
      <c r="I78" s="664" t="str">
        <f t="shared" si="19"/>
        <v/>
      </c>
      <c r="J78" s="665" t="str">
        <f>IF(F78="","",VLOOKUP(F78,'10. Condition and Temporal'!$B$6:$F$103,5,FALSE))</f>
        <v/>
      </c>
      <c r="K78" s="666"/>
      <c r="L78" s="505" t="str">
        <f t="shared" si="20"/>
        <v/>
      </c>
      <c r="M78" s="667" t="str">
        <f t="shared" si="21"/>
        <v/>
      </c>
      <c r="N78" s="43"/>
      <c r="O78" s="378"/>
      <c r="P78" s="300"/>
      <c r="Q78" s="1"/>
      <c r="R78" s="161"/>
      <c r="S78" s="1"/>
      <c r="T78" s="361" t="str">
        <f t="shared" si="22"/>
        <v/>
      </c>
      <c r="U78" s="379" t="str">
        <f t="shared" si="23"/>
        <v/>
      </c>
      <c r="V78" s="380" t="str">
        <f t="shared" ref="V78:X78" si="64">IF($D78="","",V23)</f>
        <v/>
      </c>
      <c r="W78" s="560" t="str">
        <f t="shared" si="64"/>
        <v/>
      </c>
      <c r="X78" s="214" t="str">
        <f t="shared" si="64"/>
        <v/>
      </c>
      <c r="Y78" s="365"/>
      <c r="Z78" s="365"/>
      <c r="AA78" s="365"/>
      <c r="AB78" s="211" t="str">
        <f t="shared" si="25"/>
        <v/>
      </c>
      <c r="AC78" s="561" t="str">
        <f t="shared" si="26"/>
        <v/>
      </c>
      <c r="AD78" s="380" t="str">
        <f t="shared" si="27"/>
        <v/>
      </c>
      <c r="AE78" s="559" t="str">
        <f t="shared" si="28"/>
        <v/>
      </c>
      <c r="AF78" s="560" t="str">
        <f t="shared" si="29"/>
        <v/>
      </c>
      <c r="AG78" s="379" t="str">
        <f>IF(D78="","",VLOOKUP(F78,'9. All Habitats + Multipliers'!$C$4:$K$102,5,FALSE))</f>
        <v/>
      </c>
      <c r="AH78" s="380" t="str">
        <f>IF(AG78="","",VLOOKUP(AG78,'11. Lists'!$B$47:$D$49,2,FALSE))</f>
        <v/>
      </c>
      <c r="AI78" s="379" t="str">
        <f t="shared" si="30"/>
        <v/>
      </c>
      <c r="AJ78" s="215" t="str">
        <f>IF(AI78="","",VLOOKUP(AI78,'11. Lists'!$F$47:$G$51,2,FALSE))</f>
        <v/>
      </c>
      <c r="AK78" s="365"/>
      <c r="AL78" s="365"/>
      <c r="AM78" s="365"/>
      <c r="AN78" s="215" t="str">
        <f t="shared" si="31"/>
        <v/>
      </c>
      <c r="AO78" s="558" t="str">
        <f>IF(AN78="","",VLOOKUP(AN78,'11. Lists'!$F$36:$H$38,2,FALSE))</f>
        <v/>
      </c>
      <c r="AP78" s="380" t="str">
        <f>IF(AN78="","",VLOOKUP(AN78,'11. Lists'!$F$36:$H$38,3,FALSE))</f>
        <v/>
      </c>
      <c r="AQ78" s="379" t="str">
        <f>IF(D78="","",IF(AX78="Distinctiveness","N/A",VLOOKUP(F78,'10. Condition and Temporal'!$B$6:$L$103,11,FALSE)))</f>
        <v/>
      </c>
      <c r="AR78" s="382" t="str">
        <f>IF(AQ78="","",IF(AQ78="N/A","1",VLOOKUP(AQ78,'11. Lists'!$I$47:$K$80,3,FALSE)))</f>
        <v/>
      </c>
      <c r="AS78" s="562" t="str">
        <f>IF(D78="","",IF(AX78="Condition","N/A",VLOOKUP(F78,'10. Condition and Temporal'!$B$6:$M$106,12,FALSE)))</f>
        <v/>
      </c>
      <c r="AT78" s="382" t="str">
        <f>IF(AS78="","",IF(AS78="N/A","1",VLOOKUP(AS78,'11. Lists'!$I$47:$K$80,3,FALSE)))</f>
        <v/>
      </c>
      <c r="AU78" s="561" t="str">
        <f>IF(D78="","",VLOOKUP(F78,'9. All Habitats + Multipliers'!$C$4:$K$102,8,FALSE))</f>
        <v/>
      </c>
      <c r="AV78" s="380" t="str">
        <f>IF(AU78="","",VLOOKUP(AU78,'11. Lists'!$J$35:$K$38,2,FALSE))</f>
        <v/>
      </c>
      <c r="AW78" s="379" t="str">
        <f>IF(D78="","",VLOOKUP(D78,'10. Condition and Temporal'!$B$6:$M$103,4,FALSE))</f>
        <v/>
      </c>
      <c r="AX78" s="662" t="str">
        <f t="shared" si="32"/>
        <v/>
      </c>
      <c r="AY78" s="642" t="s">
        <v>280</v>
      </c>
      <c r="AZ78" s="663" t="s">
        <v>280</v>
      </c>
      <c r="BA78" s="214">
        <v>13.0</v>
      </c>
      <c r="BB78" s="215" t="str">
        <f t="shared" si="33"/>
        <v/>
      </c>
      <c r="BC78" s="215" t="str">
        <f t="shared" si="34"/>
        <v/>
      </c>
      <c r="BD78" s="215" t="str">
        <f t="shared" si="35"/>
        <v/>
      </c>
      <c r="BE78" s="215" t="str">
        <f t="shared" si="36"/>
        <v/>
      </c>
      <c r="BF78" s="215" t="str">
        <f t="shared" si="37"/>
        <v/>
      </c>
      <c r="BG78" s="215" t="str">
        <f t="shared" si="38"/>
        <v/>
      </c>
      <c r="BH78" s="215" t="str">
        <f t="shared" si="39"/>
        <v/>
      </c>
      <c r="BI78" s="215" t="str">
        <f t="shared" si="40"/>
        <v/>
      </c>
      <c r="BJ78" s="215" t="str">
        <f t="shared" si="41"/>
        <v/>
      </c>
      <c r="BK78" s="215" t="str">
        <f t="shared" si="42"/>
        <v/>
      </c>
      <c r="BL78" s="215" t="str">
        <f t="shared" si="43"/>
        <v/>
      </c>
      <c r="BM78" s="215" t="str">
        <f t="shared" si="44"/>
        <v/>
      </c>
      <c r="BN78" s="215" t="str">
        <f t="shared" si="45"/>
        <v/>
      </c>
      <c r="BO78" s="215" t="str">
        <f t="shared" si="46"/>
        <v/>
      </c>
      <c r="BP78" s="215" t="str">
        <f t="shared" si="47"/>
        <v/>
      </c>
      <c r="BQ78" s="215" t="str">
        <f t="shared" si="48"/>
        <v/>
      </c>
      <c r="BR78" s="215" t="str">
        <f t="shared" si="49"/>
        <v/>
      </c>
      <c r="BS78" s="215" t="str">
        <f t="shared" si="50"/>
        <v/>
      </c>
      <c r="BT78" s="215" t="str">
        <f t="shared" si="51"/>
        <v/>
      </c>
      <c r="BU78" s="211" t="str">
        <f t="shared" si="52"/>
        <v/>
      </c>
      <c r="BV78" s="212" t="str">
        <f t="shared" si="53"/>
        <v/>
      </c>
      <c r="BW78" s="215" t="s">
        <v>198</v>
      </c>
      <c r="BX78" s="215">
        <f>BN64</f>
        <v>0</v>
      </c>
    </row>
    <row r="79" ht="14.25" customHeight="1">
      <c r="A79" s="1"/>
      <c r="B79" s="221">
        <v>14.0</v>
      </c>
      <c r="C79" s="376" t="str">
        <f t="shared" si="15"/>
        <v/>
      </c>
      <c r="D79" s="352" t="str">
        <f t="shared" si="16"/>
        <v/>
      </c>
      <c r="E79" s="377" t="str">
        <f t="shared" si="17"/>
        <v/>
      </c>
      <c r="F79" s="222"/>
      <c r="G79" s="43"/>
      <c r="H79" s="354" t="str">
        <f t="shared" si="18"/>
        <v/>
      </c>
      <c r="I79" s="664" t="str">
        <f t="shared" si="19"/>
        <v/>
      </c>
      <c r="J79" s="665" t="str">
        <f>IF(F79="","",VLOOKUP(F79,'10. Condition and Temporal'!$B$6:$F$103,5,FALSE))</f>
        <v/>
      </c>
      <c r="K79" s="666"/>
      <c r="L79" s="505" t="str">
        <f t="shared" si="20"/>
        <v/>
      </c>
      <c r="M79" s="667" t="str">
        <f t="shared" si="21"/>
        <v/>
      </c>
      <c r="N79" s="43"/>
      <c r="O79" s="378"/>
      <c r="P79" s="300"/>
      <c r="Q79" s="1"/>
      <c r="R79" s="161"/>
      <c r="S79" s="1"/>
      <c r="T79" s="361" t="str">
        <f t="shared" si="22"/>
        <v/>
      </c>
      <c r="U79" s="379" t="str">
        <f t="shared" si="23"/>
        <v/>
      </c>
      <c r="V79" s="380" t="str">
        <f t="shared" ref="V79:X79" si="65">IF($D79="","",V24)</f>
        <v/>
      </c>
      <c r="W79" s="560" t="str">
        <f t="shared" si="65"/>
        <v/>
      </c>
      <c r="X79" s="214" t="str">
        <f t="shared" si="65"/>
        <v/>
      </c>
      <c r="Y79" s="365"/>
      <c r="Z79" s="365"/>
      <c r="AA79" s="365"/>
      <c r="AB79" s="211" t="str">
        <f t="shared" si="25"/>
        <v/>
      </c>
      <c r="AC79" s="561" t="str">
        <f t="shared" si="26"/>
        <v/>
      </c>
      <c r="AD79" s="380" t="str">
        <f t="shared" si="27"/>
        <v/>
      </c>
      <c r="AE79" s="559" t="str">
        <f t="shared" si="28"/>
        <v/>
      </c>
      <c r="AF79" s="560" t="str">
        <f t="shared" si="29"/>
        <v/>
      </c>
      <c r="AG79" s="379" t="str">
        <f>IF(D79="","",VLOOKUP(F79,'9. All Habitats + Multipliers'!$C$4:$K$102,5,FALSE))</f>
        <v/>
      </c>
      <c r="AH79" s="380" t="str">
        <f>IF(AG79="","",VLOOKUP(AG79,'11. Lists'!$B$47:$D$49,2,FALSE))</f>
        <v/>
      </c>
      <c r="AI79" s="379" t="str">
        <f t="shared" si="30"/>
        <v/>
      </c>
      <c r="AJ79" s="215" t="str">
        <f>IF(AI79="","",VLOOKUP(AI79,'11. Lists'!$F$47:$G$51,2,FALSE))</f>
        <v/>
      </c>
      <c r="AK79" s="365"/>
      <c r="AL79" s="365"/>
      <c r="AM79" s="365"/>
      <c r="AN79" s="215" t="str">
        <f t="shared" si="31"/>
        <v/>
      </c>
      <c r="AO79" s="558" t="str">
        <f>IF(AN79="","",VLOOKUP(AN79,'11. Lists'!$F$36:$H$38,2,FALSE))</f>
        <v/>
      </c>
      <c r="AP79" s="380" t="str">
        <f>IF(AN79="","",VLOOKUP(AN79,'11. Lists'!$F$36:$H$38,3,FALSE))</f>
        <v/>
      </c>
      <c r="AQ79" s="379" t="str">
        <f>IF(D79="","",IF(AX79="Distinctiveness","N/A",VLOOKUP(F79,'10. Condition and Temporal'!$B$6:$L$103,11,FALSE)))</f>
        <v/>
      </c>
      <c r="AR79" s="382" t="str">
        <f>IF(AQ79="","",IF(AQ79="N/A","1",VLOOKUP(AQ79,'11. Lists'!$I$47:$K$80,3,FALSE)))</f>
        <v/>
      </c>
      <c r="AS79" s="562" t="str">
        <f>IF(D79="","",IF(AX79="Condition","N/A",VLOOKUP(F79,'10. Condition and Temporal'!$B$6:$M$106,12,FALSE)))</f>
        <v/>
      </c>
      <c r="AT79" s="382" t="str">
        <f>IF(AS79="","",IF(AS79="N/A","1",VLOOKUP(AS79,'11. Lists'!$I$47:$K$80,3,FALSE)))</f>
        <v/>
      </c>
      <c r="AU79" s="561" t="str">
        <f>IF(D79="","",VLOOKUP(F79,'9. All Habitats + Multipliers'!$C$4:$K$102,8,FALSE))</f>
        <v/>
      </c>
      <c r="AV79" s="380" t="str">
        <f>IF(AU79="","",VLOOKUP(AU79,'11. Lists'!$J$35:$K$38,2,FALSE))</f>
        <v/>
      </c>
      <c r="AW79" s="379" t="str">
        <f>IF(D79="","",VLOOKUP(D79,'10. Condition and Temporal'!$B$6:$M$103,4,FALSE))</f>
        <v/>
      </c>
      <c r="AX79" s="662" t="str">
        <f t="shared" si="32"/>
        <v/>
      </c>
      <c r="AY79" s="642" t="s">
        <v>280</v>
      </c>
      <c r="AZ79" s="663" t="s">
        <v>280</v>
      </c>
      <c r="BA79" s="214">
        <v>14.0</v>
      </c>
      <c r="BB79" s="215" t="str">
        <f t="shared" si="33"/>
        <v/>
      </c>
      <c r="BC79" s="215" t="str">
        <f t="shared" si="34"/>
        <v/>
      </c>
      <c r="BD79" s="215" t="str">
        <f t="shared" si="35"/>
        <v/>
      </c>
      <c r="BE79" s="215" t="str">
        <f t="shared" si="36"/>
        <v/>
      </c>
      <c r="BF79" s="215" t="str">
        <f t="shared" si="37"/>
        <v/>
      </c>
      <c r="BG79" s="215" t="str">
        <f t="shared" si="38"/>
        <v/>
      </c>
      <c r="BH79" s="215" t="str">
        <f t="shared" si="39"/>
        <v/>
      </c>
      <c r="BI79" s="215" t="str">
        <f t="shared" si="40"/>
        <v/>
      </c>
      <c r="BJ79" s="215" t="str">
        <f t="shared" si="41"/>
        <v/>
      </c>
      <c r="BK79" s="215" t="str">
        <f t="shared" si="42"/>
        <v/>
      </c>
      <c r="BL79" s="215" t="str">
        <f t="shared" si="43"/>
        <v/>
      </c>
      <c r="BM79" s="215" t="str">
        <f t="shared" si="44"/>
        <v/>
      </c>
      <c r="BN79" s="215" t="str">
        <f t="shared" si="45"/>
        <v/>
      </c>
      <c r="BO79" s="215" t="str">
        <f t="shared" si="46"/>
        <v/>
      </c>
      <c r="BP79" s="215" t="str">
        <f t="shared" si="47"/>
        <v/>
      </c>
      <c r="BQ79" s="215" t="str">
        <f t="shared" si="48"/>
        <v/>
      </c>
      <c r="BR79" s="215" t="str">
        <f t="shared" si="49"/>
        <v/>
      </c>
      <c r="BS79" s="215" t="str">
        <f t="shared" si="50"/>
        <v/>
      </c>
      <c r="BT79" s="215" t="str">
        <f t="shared" si="51"/>
        <v/>
      </c>
      <c r="BU79" s="211" t="str">
        <f t="shared" si="52"/>
        <v/>
      </c>
      <c r="BV79" s="212" t="str">
        <f t="shared" si="53"/>
        <v/>
      </c>
      <c r="BW79" s="215" t="s">
        <v>199</v>
      </c>
      <c r="BX79" s="215">
        <f>BO64</f>
        <v>0</v>
      </c>
    </row>
    <row r="80" ht="15.75" customHeight="1">
      <c r="A80" s="1"/>
      <c r="B80" s="221">
        <v>15.0</v>
      </c>
      <c r="C80" s="376" t="str">
        <f t="shared" si="15"/>
        <v/>
      </c>
      <c r="D80" s="352" t="str">
        <f t="shared" si="16"/>
        <v/>
      </c>
      <c r="E80" s="377" t="str">
        <f t="shared" si="17"/>
        <v/>
      </c>
      <c r="F80" s="222"/>
      <c r="G80" s="43"/>
      <c r="H80" s="354" t="str">
        <f t="shared" si="18"/>
        <v/>
      </c>
      <c r="I80" s="664" t="str">
        <f t="shared" si="19"/>
        <v/>
      </c>
      <c r="J80" s="665" t="str">
        <f>IF(F80="","",VLOOKUP(F80,'10. Condition and Temporal'!$B$6:$F$103,5,FALSE))</f>
        <v/>
      </c>
      <c r="K80" s="666"/>
      <c r="L80" s="505" t="str">
        <f t="shared" si="20"/>
        <v/>
      </c>
      <c r="M80" s="667" t="str">
        <f t="shared" si="21"/>
        <v/>
      </c>
      <c r="N80" s="43"/>
      <c r="O80" s="378"/>
      <c r="P80" s="300"/>
      <c r="Q80" s="1"/>
      <c r="R80" s="161"/>
      <c r="S80" s="1"/>
      <c r="T80" s="361" t="str">
        <f t="shared" si="22"/>
        <v/>
      </c>
      <c r="U80" s="379" t="str">
        <f t="shared" si="23"/>
        <v/>
      </c>
      <c r="V80" s="380" t="str">
        <f t="shared" ref="V80:X80" si="66">IF($D80="","",V25)</f>
        <v/>
      </c>
      <c r="W80" s="560" t="str">
        <f t="shared" si="66"/>
        <v/>
      </c>
      <c r="X80" s="214" t="str">
        <f t="shared" si="66"/>
        <v/>
      </c>
      <c r="Y80" s="365"/>
      <c r="Z80" s="365"/>
      <c r="AA80" s="365"/>
      <c r="AB80" s="211" t="str">
        <f t="shared" si="25"/>
        <v/>
      </c>
      <c r="AC80" s="561" t="str">
        <f t="shared" si="26"/>
        <v/>
      </c>
      <c r="AD80" s="380" t="str">
        <f t="shared" si="27"/>
        <v/>
      </c>
      <c r="AE80" s="559" t="str">
        <f t="shared" si="28"/>
        <v/>
      </c>
      <c r="AF80" s="560" t="str">
        <f t="shared" si="29"/>
        <v/>
      </c>
      <c r="AG80" s="379" t="str">
        <f>IF(D80="","",VLOOKUP(F80,'9. All Habitats + Multipliers'!$C$4:$K$102,5,FALSE))</f>
        <v/>
      </c>
      <c r="AH80" s="380" t="str">
        <f>IF(AG80="","",VLOOKUP(AG80,'11. Lists'!$B$47:$D$49,2,FALSE))</f>
        <v/>
      </c>
      <c r="AI80" s="379" t="str">
        <f t="shared" si="30"/>
        <v/>
      </c>
      <c r="AJ80" s="215" t="str">
        <f>IF(AI80="","",VLOOKUP(AI80,'11. Lists'!$F$47:$G$51,2,FALSE))</f>
        <v/>
      </c>
      <c r="AK80" s="365"/>
      <c r="AL80" s="365"/>
      <c r="AM80" s="365"/>
      <c r="AN80" s="215" t="str">
        <f t="shared" si="31"/>
        <v/>
      </c>
      <c r="AO80" s="558" t="str">
        <f>IF(AN80="","",VLOOKUP(AN80,'11. Lists'!$F$36:$H$38,2,FALSE))</f>
        <v/>
      </c>
      <c r="AP80" s="380" t="str">
        <f>IF(AN80="","",VLOOKUP(AN80,'11. Lists'!$F$36:$H$38,3,FALSE))</f>
        <v/>
      </c>
      <c r="AQ80" s="379" t="str">
        <f>IF(D80="","",IF(AX80="Distinctiveness","N/A",VLOOKUP(F80,'10. Condition and Temporal'!$B$6:$L$103,11,FALSE)))</f>
        <v/>
      </c>
      <c r="AR80" s="382" t="str">
        <f>IF(AQ80="","",IF(AQ80="N/A","1",VLOOKUP(AQ80,'11. Lists'!$I$47:$K$80,3,FALSE)))</f>
        <v/>
      </c>
      <c r="AS80" s="562" t="str">
        <f>IF(D80="","",IF(AX80="Condition","N/A",VLOOKUP(F80,'10. Condition and Temporal'!$B$6:$M$106,12,FALSE)))</f>
        <v/>
      </c>
      <c r="AT80" s="382" t="str">
        <f>IF(AS80="","",IF(AS80="N/A","1",VLOOKUP(AS80,'11. Lists'!$I$47:$K$80,3,FALSE)))</f>
        <v/>
      </c>
      <c r="AU80" s="561" t="str">
        <f>IF(D80="","",VLOOKUP(F80,'9. All Habitats + Multipliers'!$C$4:$K$102,8,FALSE))</f>
        <v/>
      </c>
      <c r="AV80" s="380" t="str">
        <f>IF(AU80="","",VLOOKUP(AU80,'11. Lists'!$J$35:$K$38,2,FALSE))</f>
        <v/>
      </c>
      <c r="AW80" s="379" t="str">
        <f>IF(D80="","",VLOOKUP(D80,'10. Condition and Temporal'!$B$6:$M$103,4,FALSE))</f>
        <v/>
      </c>
      <c r="AX80" s="662" t="str">
        <f t="shared" si="32"/>
        <v/>
      </c>
      <c r="AY80" s="642" t="s">
        <v>280</v>
      </c>
      <c r="AZ80" s="663" t="s">
        <v>280</v>
      </c>
      <c r="BA80" s="214">
        <v>15.0</v>
      </c>
      <c r="BB80" s="215" t="str">
        <f t="shared" si="33"/>
        <v/>
      </c>
      <c r="BC80" s="215" t="str">
        <f t="shared" si="34"/>
        <v/>
      </c>
      <c r="BD80" s="215" t="str">
        <f t="shared" si="35"/>
        <v/>
      </c>
      <c r="BE80" s="215" t="str">
        <f t="shared" si="36"/>
        <v/>
      </c>
      <c r="BF80" s="215" t="str">
        <f t="shared" si="37"/>
        <v/>
      </c>
      <c r="BG80" s="215" t="str">
        <f t="shared" si="38"/>
        <v/>
      </c>
      <c r="BH80" s="215" t="str">
        <f t="shared" si="39"/>
        <v/>
      </c>
      <c r="BI80" s="215" t="str">
        <f t="shared" si="40"/>
        <v/>
      </c>
      <c r="BJ80" s="215" t="str">
        <f t="shared" si="41"/>
        <v/>
      </c>
      <c r="BK80" s="215" t="str">
        <f t="shared" si="42"/>
        <v/>
      </c>
      <c r="BL80" s="215" t="str">
        <f t="shared" si="43"/>
        <v/>
      </c>
      <c r="BM80" s="215" t="str">
        <f t="shared" si="44"/>
        <v/>
      </c>
      <c r="BN80" s="215" t="str">
        <f t="shared" si="45"/>
        <v/>
      </c>
      <c r="BO80" s="215" t="str">
        <f t="shared" si="46"/>
        <v/>
      </c>
      <c r="BP80" s="215" t="str">
        <f t="shared" si="47"/>
        <v/>
      </c>
      <c r="BQ80" s="215" t="str">
        <f t="shared" si="48"/>
        <v/>
      </c>
      <c r="BR80" s="215" t="str">
        <f t="shared" si="49"/>
        <v/>
      </c>
      <c r="BS80" s="215" t="str">
        <f t="shared" si="50"/>
        <v/>
      </c>
      <c r="BT80" s="215" t="str">
        <f t="shared" si="51"/>
        <v/>
      </c>
      <c r="BU80" s="211" t="str">
        <f t="shared" si="52"/>
        <v/>
      </c>
      <c r="BV80" s="212" t="str">
        <f t="shared" si="53"/>
        <v/>
      </c>
      <c r="BW80" s="215" t="s">
        <v>200</v>
      </c>
      <c r="BX80" s="215">
        <f>BP64</f>
        <v>0</v>
      </c>
    </row>
    <row r="81" ht="15.75" customHeight="1">
      <c r="A81" s="1"/>
      <c r="B81" s="221">
        <v>16.0</v>
      </c>
      <c r="C81" s="376" t="str">
        <f t="shared" si="15"/>
        <v/>
      </c>
      <c r="D81" s="352" t="str">
        <f t="shared" si="16"/>
        <v/>
      </c>
      <c r="E81" s="377" t="str">
        <f t="shared" si="17"/>
        <v/>
      </c>
      <c r="F81" s="222"/>
      <c r="G81" s="43"/>
      <c r="H81" s="354" t="str">
        <f t="shared" si="18"/>
        <v/>
      </c>
      <c r="I81" s="664" t="str">
        <f t="shared" si="19"/>
        <v/>
      </c>
      <c r="J81" s="665" t="str">
        <f>IF(F81="","",VLOOKUP(F81,'10. Condition and Temporal'!$B$6:$F$103,5,FALSE))</f>
        <v/>
      </c>
      <c r="K81" s="666"/>
      <c r="L81" s="505" t="str">
        <f t="shared" si="20"/>
        <v/>
      </c>
      <c r="M81" s="667" t="str">
        <f t="shared" si="21"/>
        <v/>
      </c>
      <c r="N81" s="43"/>
      <c r="O81" s="378"/>
      <c r="P81" s="300"/>
      <c r="Q81" s="1"/>
      <c r="R81" s="161"/>
      <c r="S81" s="1"/>
      <c r="T81" s="361" t="str">
        <f t="shared" si="22"/>
        <v/>
      </c>
      <c r="U81" s="379" t="str">
        <f t="shared" si="23"/>
        <v/>
      </c>
      <c r="V81" s="380" t="str">
        <f t="shared" ref="V81:X81" si="67">IF($D81="","",V26)</f>
        <v/>
      </c>
      <c r="W81" s="560" t="str">
        <f t="shared" si="67"/>
        <v/>
      </c>
      <c r="X81" s="214" t="str">
        <f t="shared" si="67"/>
        <v/>
      </c>
      <c r="Y81" s="365"/>
      <c r="Z81" s="365"/>
      <c r="AA81" s="365"/>
      <c r="AB81" s="211" t="str">
        <f t="shared" si="25"/>
        <v/>
      </c>
      <c r="AC81" s="561" t="str">
        <f t="shared" si="26"/>
        <v/>
      </c>
      <c r="AD81" s="380" t="str">
        <f t="shared" si="27"/>
        <v/>
      </c>
      <c r="AE81" s="559" t="str">
        <f t="shared" si="28"/>
        <v/>
      </c>
      <c r="AF81" s="560" t="str">
        <f t="shared" si="29"/>
        <v/>
      </c>
      <c r="AG81" s="379" t="str">
        <f>IF(D81="","",VLOOKUP(F81,'9. All Habitats + Multipliers'!$C$4:$K$102,5,FALSE))</f>
        <v/>
      </c>
      <c r="AH81" s="380" t="str">
        <f>IF(AG81="","",VLOOKUP(AG81,'11. Lists'!$B$47:$D$49,2,FALSE))</f>
        <v/>
      </c>
      <c r="AI81" s="379" t="str">
        <f t="shared" si="30"/>
        <v/>
      </c>
      <c r="AJ81" s="215" t="str">
        <f>IF(AI81="","",VLOOKUP(AI81,'11. Lists'!$F$47:$G$51,2,FALSE))</f>
        <v/>
      </c>
      <c r="AK81" s="365"/>
      <c r="AL81" s="365"/>
      <c r="AM81" s="365"/>
      <c r="AN81" s="215" t="str">
        <f t="shared" si="31"/>
        <v/>
      </c>
      <c r="AO81" s="558" t="str">
        <f>IF(AN81="","",VLOOKUP(AN81,'11. Lists'!$F$36:$H$38,2,FALSE))</f>
        <v/>
      </c>
      <c r="AP81" s="380" t="str">
        <f>IF(AN81="","",VLOOKUP(AN81,'11. Lists'!$F$36:$H$38,3,FALSE))</f>
        <v/>
      </c>
      <c r="AQ81" s="379" t="str">
        <f>IF(D81="","",IF(AX81="Distinctiveness","N/A",VLOOKUP(F81,'10. Condition and Temporal'!$B$6:$L$103,11,FALSE)))</f>
        <v/>
      </c>
      <c r="AR81" s="382" t="str">
        <f>IF(AQ81="","",IF(AQ81="N/A","1",VLOOKUP(AQ81,'11. Lists'!$I$47:$K$80,3,FALSE)))</f>
        <v/>
      </c>
      <c r="AS81" s="562" t="str">
        <f>IF(D81="","",IF(AX81="Condition","N/A",VLOOKUP(F81,'10. Condition and Temporal'!$B$6:$M$106,12,FALSE)))</f>
        <v/>
      </c>
      <c r="AT81" s="382" t="str">
        <f>IF(AS81="","",IF(AS81="N/A","1",VLOOKUP(AS81,'11. Lists'!$I$47:$K$80,3,FALSE)))</f>
        <v/>
      </c>
      <c r="AU81" s="561" t="str">
        <f>IF(D81="","",VLOOKUP(F81,'9. All Habitats + Multipliers'!$C$4:$K$102,8,FALSE))</f>
        <v/>
      </c>
      <c r="AV81" s="380" t="str">
        <f>IF(AU81="","",VLOOKUP(AU81,'11. Lists'!$J$35:$K$38,2,FALSE))</f>
        <v/>
      </c>
      <c r="AW81" s="379" t="str">
        <f>IF(D81="","",VLOOKUP(D81,'10. Condition and Temporal'!$B$6:$M$103,4,FALSE))</f>
        <v/>
      </c>
      <c r="AX81" s="662" t="str">
        <f t="shared" si="32"/>
        <v/>
      </c>
      <c r="AY81" s="642" t="s">
        <v>280</v>
      </c>
      <c r="AZ81" s="663" t="s">
        <v>280</v>
      </c>
      <c r="BA81" s="214">
        <v>16.0</v>
      </c>
      <c r="BB81" s="215" t="str">
        <f t="shared" si="33"/>
        <v/>
      </c>
      <c r="BC81" s="215" t="str">
        <f t="shared" si="34"/>
        <v/>
      </c>
      <c r="BD81" s="215" t="str">
        <f t="shared" si="35"/>
        <v/>
      </c>
      <c r="BE81" s="215" t="str">
        <f t="shared" si="36"/>
        <v/>
      </c>
      <c r="BF81" s="215" t="str">
        <f t="shared" si="37"/>
        <v/>
      </c>
      <c r="BG81" s="215" t="str">
        <f t="shared" si="38"/>
        <v/>
      </c>
      <c r="BH81" s="215" t="str">
        <f t="shared" si="39"/>
        <v/>
      </c>
      <c r="BI81" s="215" t="str">
        <f t="shared" si="40"/>
        <v/>
      </c>
      <c r="BJ81" s="215" t="str">
        <f t="shared" si="41"/>
        <v/>
      </c>
      <c r="BK81" s="215" t="str">
        <f t="shared" si="42"/>
        <v/>
      </c>
      <c r="BL81" s="215" t="str">
        <f t="shared" si="43"/>
        <v/>
      </c>
      <c r="BM81" s="215" t="str">
        <f t="shared" si="44"/>
        <v/>
      </c>
      <c r="BN81" s="215" t="str">
        <f t="shared" si="45"/>
        <v/>
      </c>
      <c r="BO81" s="215" t="str">
        <f t="shared" si="46"/>
        <v/>
      </c>
      <c r="BP81" s="215" t="str">
        <f t="shared" si="47"/>
        <v/>
      </c>
      <c r="BQ81" s="215" t="str">
        <f t="shared" si="48"/>
        <v/>
      </c>
      <c r="BR81" s="215" t="str">
        <f t="shared" si="49"/>
        <v/>
      </c>
      <c r="BS81" s="215" t="str">
        <f t="shared" si="50"/>
        <v/>
      </c>
      <c r="BT81" s="215" t="str">
        <f t="shared" si="51"/>
        <v/>
      </c>
      <c r="BU81" s="211" t="str">
        <f t="shared" si="52"/>
        <v/>
      </c>
      <c r="BV81" s="212" t="str">
        <f t="shared" si="53"/>
        <v/>
      </c>
      <c r="BW81" s="215" t="s">
        <v>201</v>
      </c>
      <c r="BX81" s="215">
        <f>BQ64</f>
        <v>0</v>
      </c>
    </row>
    <row r="82" ht="14.25" customHeight="1">
      <c r="A82" s="1"/>
      <c r="B82" s="221">
        <v>17.0</v>
      </c>
      <c r="C82" s="376" t="str">
        <f t="shared" si="15"/>
        <v/>
      </c>
      <c r="D82" s="352" t="str">
        <f t="shared" si="16"/>
        <v/>
      </c>
      <c r="E82" s="377" t="str">
        <f t="shared" si="17"/>
        <v/>
      </c>
      <c r="F82" s="222"/>
      <c r="G82" s="43"/>
      <c r="H82" s="354" t="str">
        <f t="shared" si="18"/>
        <v/>
      </c>
      <c r="I82" s="664" t="str">
        <f t="shared" si="19"/>
        <v/>
      </c>
      <c r="J82" s="665" t="str">
        <f>IF(F82="","",VLOOKUP(F82,'10. Condition and Temporal'!$B$6:$F$103,5,FALSE))</f>
        <v/>
      </c>
      <c r="K82" s="666"/>
      <c r="L82" s="505" t="str">
        <f t="shared" si="20"/>
        <v/>
      </c>
      <c r="M82" s="667" t="str">
        <f t="shared" si="21"/>
        <v/>
      </c>
      <c r="N82" s="43"/>
      <c r="O82" s="378"/>
      <c r="P82" s="300"/>
      <c r="Q82" s="1"/>
      <c r="R82" s="161"/>
      <c r="S82" s="1"/>
      <c r="T82" s="361" t="str">
        <f t="shared" si="22"/>
        <v/>
      </c>
      <c r="U82" s="379" t="str">
        <f t="shared" si="23"/>
        <v/>
      </c>
      <c r="V82" s="380" t="str">
        <f t="shared" ref="V82:X82" si="68">IF($D82="","",V27)</f>
        <v/>
      </c>
      <c r="W82" s="560" t="str">
        <f t="shared" si="68"/>
        <v/>
      </c>
      <c r="X82" s="214" t="str">
        <f t="shared" si="68"/>
        <v/>
      </c>
      <c r="Y82" s="365"/>
      <c r="Z82" s="365"/>
      <c r="AA82" s="365"/>
      <c r="AB82" s="211" t="str">
        <f t="shared" si="25"/>
        <v/>
      </c>
      <c r="AC82" s="561" t="str">
        <f t="shared" si="26"/>
        <v/>
      </c>
      <c r="AD82" s="380" t="str">
        <f t="shared" si="27"/>
        <v/>
      </c>
      <c r="AE82" s="559" t="str">
        <f t="shared" si="28"/>
        <v/>
      </c>
      <c r="AF82" s="560" t="str">
        <f t="shared" si="29"/>
        <v/>
      </c>
      <c r="AG82" s="379" t="str">
        <f>IF(D82="","",VLOOKUP(F82,'9. All Habitats + Multipliers'!$C$4:$K$102,5,FALSE))</f>
        <v/>
      </c>
      <c r="AH82" s="380" t="str">
        <f>IF(AG82="","",VLOOKUP(AG82,'11. Lists'!$B$47:$D$49,2,FALSE))</f>
        <v/>
      </c>
      <c r="AI82" s="379" t="str">
        <f t="shared" si="30"/>
        <v/>
      </c>
      <c r="AJ82" s="215" t="str">
        <f>IF(AI82="","",VLOOKUP(AI82,'11. Lists'!$F$47:$G$51,2,FALSE))</f>
        <v/>
      </c>
      <c r="AK82" s="365"/>
      <c r="AL82" s="365"/>
      <c r="AM82" s="365"/>
      <c r="AN82" s="215" t="str">
        <f t="shared" si="31"/>
        <v/>
      </c>
      <c r="AO82" s="558" t="str">
        <f>IF(AN82="","",VLOOKUP(AN82,'11. Lists'!$F$36:$H$38,2,FALSE))</f>
        <v/>
      </c>
      <c r="AP82" s="380" t="str">
        <f>IF(AN82="","",VLOOKUP(AN82,'11. Lists'!$F$36:$H$38,3,FALSE))</f>
        <v/>
      </c>
      <c r="AQ82" s="379" t="str">
        <f>IF(D82="","",IF(AX82="Distinctiveness","N/A",VLOOKUP(F82,'10. Condition and Temporal'!$B$6:$L$103,11,FALSE)))</f>
        <v/>
      </c>
      <c r="AR82" s="382" t="str">
        <f>IF(AQ82="","",IF(AQ82="N/A","1",VLOOKUP(AQ82,'11. Lists'!$I$47:$K$80,3,FALSE)))</f>
        <v/>
      </c>
      <c r="AS82" s="562" t="str">
        <f>IF(D82="","",IF(AX82="Condition","N/A",VLOOKUP(F82,'10. Condition and Temporal'!$B$6:$M$106,12,FALSE)))</f>
        <v/>
      </c>
      <c r="AT82" s="382" t="str">
        <f>IF(AS82="","",IF(AS82="N/A","1",VLOOKUP(AS82,'11. Lists'!$I$47:$K$80,3,FALSE)))</f>
        <v/>
      </c>
      <c r="AU82" s="561" t="str">
        <f>IF(D82="","",VLOOKUP(F82,'9. All Habitats + Multipliers'!$C$4:$K$102,8,FALSE))</f>
        <v/>
      </c>
      <c r="AV82" s="380" t="str">
        <f>IF(AU82="","",VLOOKUP(AU82,'11. Lists'!$J$35:$K$38,2,FALSE))</f>
        <v/>
      </c>
      <c r="AW82" s="379" t="str">
        <f>IF(D82="","",VLOOKUP(D82,'10. Condition and Temporal'!$B$6:$M$103,4,FALSE))</f>
        <v/>
      </c>
      <c r="AX82" s="662" t="str">
        <f t="shared" si="32"/>
        <v/>
      </c>
      <c r="AY82" s="642" t="s">
        <v>280</v>
      </c>
      <c r="AZ82" s="663" t="s">
        <v>280</v>
      </c>
      <c r="BA82" s="214">
        <v>17.0</v>
      </c>
      <c r="BB82" s="215" t="str">
        <f t="shared" si="33"/>
        <v/>
      </c>
      <c r="BC82" s="215" t="str">
        <f t="shared" si="34"/>
        <v/>
      </c>
      <c r="BD82" s="215" t="str">
        <f t="shared" si="35"/>
        <v/>
      </c>
      <c r="BE82" s="215" t="str">
        <f t="shared" si="36"/>
        <v/>
      </c>
      <c r="BF82" s="215" t="str">
        <f t="shared" si="37"/>
        <v/>
      </c>
      <c r="BG82" s="215" t="str">
        <f t="shared" si="38"/>
        <v/>
      </c>
      <c r="BH82" s="215" t="str">
        <f t="shared" si="39"/>
        <v/>
      </c>
      <c r="BI82" s="215" t="str">
        <f t="shared" si="40"/>
        <v/>
      </c>
      <c r="BJ82" s="215" t="str">
        <f t="shared" si="41"/>
        <v/>
      </c>
      <c r="BK82" s="215" t="str">
        <f t="shared" si="42"/>
        <v/>
      </c>
      <c r="BL82" s="215" t="str">
        <f t="shared" si="43"/>
        <v/>
      </c>
      <c r="BM82" s="215" t="str">
        <f t="shared" si="44"/>
        <v/>
      </c>
      <c r="BN82" s="215" t="str">
        <f t="shared" si="45"/>
        <v/>
      </c>
      <c r="BO82" s="215" t="str">
        <f t="shared" si="46"/>
        <v/>
      </c>
      <c r="BP82" s="215" t="str">
        <f t="shared" si="47"/>
        <v/>
      </c>
      <c r="BQ82" s="215" t="str">
        <f t="shared" si="48"/>
        <v/>
      </c>
      <c r="BR82" s="215" t="str">
        <f t="shared" si="49"/>
        <v/>
      </c>
      <c r="BS82" s="215" t="str">
        <f t="shared" si="50"/>
        <v/>
      </c>
      <c r="BT82" s="215" t="str">
        <f t="shared" si="51"/>
        <v/>
      </c>
      <c r="BU82" s="211" t="str">
        <f t="shared" si="52"/>
        <v/>
      </c>
      <c r="BV82" s="212" t="str">
        <f t="shared" si="53"/>
        <v/>
      </c>
      <c r="BW82" s="215" t="s">
        <v>202</v>
      </c>
      <c r="BX82" s="215">
        <f>BR64</f>
        <v>0</v>
      </c>
    </row>
    <row r="83" ht="15.75" customHeight="1">
      <c r="A83" s="1"/>
      <c r="B83" s="221">
        <v>18.0</v>
      </c>
      <c r="C83" s="376" t="str">
        <f t="shared" si="15"/>
        <v/>
      </c>
      <c r="D83" s="352" t="str">
        <f t="shared" si="16"/>
        <v/>
      </c>
      <c r="E83" s="377" t="str">
        <f t="shared" si="17"/>
        <v/>
      </c>
      <c r="F83" s="222"/>
      <c r="G83" s="43"/>
      <c r="H83" s="354" t="str">
        <f t="shared" si="18"/>
        <v/>
      </c>
      <c r="I83" s="664" t="str">
        <f t="shared" si="19"/>
        <v/>
      </c>
      <c r="J83" s="665" t="str">
        <f>IF(F83="","",VLOOKUP(F83,'10. Condition and Temporal'!$B$6:$F$103,5,FALSE))</f>
        <v/>
      </c>
      <c r="K83" s="666"/>
      <c r="L83" s="505" t="str">
        <f t="shared" si="20"/>
        <v/>
      </c>
      <c r="M83" s="667" t="str">
        <f t="shared" si="21"/>
        <v/>
      </c>
      <c r="N83" s="43"/>
      <c r="O83" s="378"/>
      <c r="P83" s="300"/>
      <c r="Q83" s="1"/>
      <c r="R83" s="161"/>
      <c r="S83" s="1"/>
      <c r="T83" s="361" t="str">
        <f t="shared" si="22"/>
        <v/>
      </c>
      <c r="U83" s="379" t="str">
        <f t="shared" si="23"/>
        <v/>
      </c>
      <c r="V83" s="380" t="str">
        <f t="shared" ref="V83:X83" si="69">IF($D83="","",V28)</f>
        <v/>
      </c>
      <c r="W83" s="560" t="str">
        <f t="shared" si="69"/>
        <v/>
      </c>
      <c r="X83" s="214" t="str">
        <f t="shared" si="69"/>
        <v/>
      </c>
      <c r="Y83" s="365"/>
      <c r="Z83" s="365"/>
      <c r="AA83" s="365"/>
      <c r="AB83" s="211" t="str">
        <f t="shared" si="25"/>
        <v/>
      </c>
      <c r="AC83" s="561" t="str">
        <f t="shared" si="26"/>
        <v/>
      </c>
      <c r="AD83" s="380" t="str">
        <f t="shared" si="27"/>
        <v/>
      </c>
      <c r="AE83" s="559" t="str">
        <f t="shared" si="28"/>
        <v/>
      </c>
      <c r="AF83" s="560" t="str">
        <f t="shared" si="29"/>
        <v/>
      </c>
      <c r="AG83" s="379" t="str">
        <f>IF(D83="","",VLOOKUP(F83,'9. All Habitats + Multipliers'!$C$4:$K$102,5,FALSE))</f>
        <v/>
      </c>
      <c r="AH83" s="380" t="str">
        <f>IF(AG83="","",VLOOKUP(AG83,'11. Lists'!$B$47:$D$49,2,FALSE))</f>
        <v/>
      </c>
      <c r="AI83" s="379" t="str">
        <f t="shared" si="30"/>
        <v/>
      </c>
      <c r="AJ83" s="215" t="str">
        <f>IF(AI83="","",VLOOKUP(AI83,'11. Lists'!$F$47:$G$51,2,FALSE))</f>
        <v/>
      </c>
      <c r="AK83" s="365"/>
      <c r="AL83" s="365"/>
      <c r="AM83" s="365"/>
      <c r="AN83" s="215" t="str">
        <f t="shared" si="31"/>
        <v/>
      </c>
      <c r="AO83" s="558" t="str">
        <f>IF(AN83="","",VLOOKUP(AN83,'11. Lists'!$F$36:$H$38,2,FALSE))</f>
        <v/>
      </c>
      <c r="AP83" s="380" t="str">
        <f>IF(AN83="","",VLOOKUP(AN83,'11. Lists'!$F$36:$H$38,3,FALSE))</f>
        <v/>
      </c>
      <c r="AQ83" s="379" t="str">
        <f>IF(D83="","",IF(AX83="Distinctiveness","N/A",VLOOKUP(F83,'10. Condition and Temporal'!$B$6:$L$103,11,FALSE)))</f>
        <v/>
      </c>
      <c r="AR83" s="382" t="str">
        <f>IF(AQ83="","",IF(AQ83="N/A","1",VLOOKUP(AQ83,'11. Lists'!$I$47:$K$80,3,FALSE)))</f>
        <v/>
      </c>
      <c r="AS83" s="562" t="str">
        <f>IF(D83="","",IF(AX83="Condition","N/A",VLOOKUP(F83,'10. Condition and Temporal'!$B$6:$M$106,12,FALSE)))</f>
        <v/>
      </c>
      <c r="AT83" s="382" t="str">
        <f>IF(AS83="","",IF(AS83="N/A","1",VLOOKUP(AS83,'11. Lists'!$I$47:$K$80,3,FALSE)))</f>
        <v/>
      </c>
      <c r="AU83" s="561" t="str">
        <f>IF(D83="","",VLOOKUP(F83,'9. All Habitats + Multipliers'!$C$4:$K$102,8,FALSE))</f>
        <v/>
      </c>
      <c r="AV83" s="380" t="str">
        <f>IF(AU83="","",VLOOKUP(AU83,'11. Lists'!$J$35:$K$38,2,FALSE))</f>
        <v/>
      </c>
      <c r="AW83" s="379" t="str">
        <f>IF(D83="","",VLOOKUP(D83,'10. Condition and Temporal'!$B$6:$M$103,4,FALSE))</f>
        <v/>
      </c>
      <c r="AX83" s="662" t="str">
        <f t="shared" si="32"/>
        <v/>
      </c>
      <c r="AY83" s="642" t="s">
        <v>280</v>
      </c>
      <c r="AZ83" s="663" t="s">
        <v>280</v>
      </c>
      <c r="BA83" s="214">
        <v>18.0</v>
      </c>
      <c r="BB83" s="215" t="str">
        <f t="shared" si="33"/>
        <v/>
      </c>
      <c r="BC83" s="215" t="str">
        <f t="shared" si="34"/>
        <v/>
      </c>
      <c r="BD83" s="215" t="str">
        <f t="shared" si="35"/>
        <v/>
      </c>
      <c r="BE83" s="215" t="str">
        <f t="shared" si="36"/>
        <v/>
      </c>
      <c r="BF83" s="215" t="str">
        <f t="shared" si="37"/>
        <v/>
      </c>
      <c r="BG83" s="215" t="str">
        <f t="shared" si="38"/>
        <v/>
      </c>
      <c r="BH83" s="215" t="str">
        <f t="shared" si="39"/>
        <v/>
      </c>
      <c r="BI83" s="215" t="str">
        <f t="shared" si="40"/>
        <v/>
      </c>
      <c r="BJ83" s="215" t="str">
        <f t="shared" si="41"/>
        <v/>
      </c>
      <c r="BK83" s="215" t="str">
        <f t="shared" si="42"/>
        <v/>
      </c>
      <c r="BL83" s="215" t="str">
        <f t="shared" si="43"/>
        <v/>
      </c>
      <c r="BM83" s="215" t="str">
        <f t="shared" si="44"/>
        <v/>
      </c>
      <c r="BN83" s="215" t="str">
        <f t="shared" si="45"/>
        <v/>
      </c>
      <c r="BO83" s="215" t="str">
        <f t="shared" si="46"/>
        <v/>
      </c>
      <c r="BP83" s="215" t="str">
        <f t="shared" si="47"/>
        <v/>
      </c>
      <c r="BQ83" s="215" t="str">
        <f t="shared" si="48"/>
        <v/>
      </c>
      <c r="BR83" s="215" t="str">
        <f t="shared" si="49"/>
        <v/>
      </c>
      <c r="BS83" s="215" t="str">
        <f t="shared" si="50"/>
        <v/>
      </c>
      <c r="BT83" s="215" t="str">
        <f t="shared" si="51"/>
        <v/>
      </c>
      <c r="BU83" s="211" t="str">
        <f t="shared" si="52"/>
        <v/>
      </c>
      <c r="BV83" s="212" t="str">
        <f t="shared" si="53"/>
        <v/>
      </c>
      <c r="BW83" s="215" t="s">
        <v>203</v>
      </c>
      <c r="BX83" s="215">
        <f>BS64</f>
        <v>0</v>
      </c>
    </row>
    <row r="84" ht="15.75" customHeight="1">
      <c r="A84" s="1"/>
      <c r="B84" s="221">
        <v>19.0</v>
      </c>
      <c r="C84" s="376" t="str">
        <f t="shared" si="15"/>
        <v/>
      </c>
      <c r="D84" s="352" t="str">
        <f t="shared" si="16"/>
        <v/>
      </c>
      <c r="E84" s="377" t="str">
        <f t="shared" si="17"/>
        <v/>
      </c>
      <c r="F84" s="222"/>
      <c r="G84" s="43"/>
      <c r="H84" s="354" t="str">
        <f t="shared" si="18"/>
        <v/>
      </c>
      <c r="I84" s="664" t="str">
        <f t="shared" si="19"/>
        <v/>
      </c>
      <c r="J84" s="665" t="str">
        <f>IF(F84="","",VLOOKUP(F84,'10. Condition and Temporal'!$B$6:$F$103,5,FALSE))</f>
        <v/>
      </c>
      <c r="K84" s="666"/>
      <c r="L84" s="505" t="str">
        <f t="shared" si="20"/>
        <v/>
      </c>
      <c r="M84" s="667" t="str">
        <f t="shared" si="21"/>
        <v/>
      </c>
      <c r="N84" s="43"/>
      <c r="O84" s="378"/>
      <c r="P84" s="300"/>
      <c r="Q84" s="1"/>
      <c r="R84" s="161"/>
      <c r="S84" s="1"/>
      <c r="T84" s="361" t="str">
        <f t="shared" si="22"/>
        <v/>
      </c>
      <c r="U84" s="379" t="str">
        <f t="shared" si="23"/>
        <v/>
      </c>
      <c r="V84" s="380" t="str">
        <f t="shared" ref="V84:X84" si="70">IF($D84="","",V29)</f>
        <v/>
      </c>
      <c r="W84" s="560" t="str">
        <f t="shared" si="70"/>
        <v/>
      </c>
      <c r="X84" s="214" t="str">
        <f t="shared" si="70"/>
        <v/>
      </c>
      <c r="Y84" s="365"/>
      <c r="Z84" s="365"/>
      <c r="AA84" s="365"/>
      <c r="AB84" s="211" t="str">
        <f t="shared" si="25"/>
        <v/>
      </c>
      <c r="AC84" s="561" t="str">
        <f t="shared" si="26"/>
        <v/>
      </c>
      <c r="AD84" s="380" t="str">
        <f t="shared" si="27"/>
        <v/>
      </c>
      <c r="AE84" s="559" t="str">
        <f t="shared" si="28"/>
        <v/>
      </c>
      <c r="AF84" s="560" t="str">
        <f t="shared" si="29"/>
        <v/>
      </c>
      <c r="AG84" s="379" t="str">
        <f>IF(D84="","",VLOOKUP(F84,'9. All Habitats + Multipliers'!$C$4:$K$102,5,FALSE))</f>
        <v/>
      </c>
      <c r="AH84" s="380" t="str">
        <f>IF(AG84="","",VLOOKUP(AG84,'11. Lists'!$B$47:$D$49,2,FALSE))</f>
        <v/>
      </c>
      <c r="AI84" s="379" t="str">
        <f t="shared" si="30"/>
        <v/>
      </c>
      <c r="AJ84" s="215" t="str">
        <f>IF(AI84="","",VLOOKUP(AI84,'11. Lists'!$F$47:$G$51,2,FALSE))</f>
        <v/>
      </c>
      <c r="AK84" s="365"/>
      <c r="AL84" s="365"/>
      <c r="AM84" s="365"/>
      <c r="AN84" s="215" t="str">
        <f t="shared" si="31"/>
        <v/>
      </c>
      <c r="AO84" s="558" t="str">
        <f>IF(AN84="","",VLOOKUP(AN84,'11. Lists'!$F$36:$H$38,2,FALSE))</f>
        <v/>
      </c>
      <c r="AP84" s="380" t="str">
        <f>IF(AN84="","",VLOOKUP(AN84,'11. Lists'!$F$36:$H$38,3,FALSE))</f>
        <v/>
      </c>
      <c r="AQ84" s="379" t="str">
        <f>IF(D84="","",IF(AX84="Distinctiveness","N/A",VLOOKUP(F84,'10. Condition and Temporal'!$B$6:$L$103,11,FALSE)))</f>
        <v/>
      </c>
      <c r="AR84" s="382" t="str">
        <f>IF(AQ84="","",IF(AQ84="N/A","1",VLOOKUP(AQ84,'11. Lists'!$I$47:$K$80,3,FALSE)))</f>
        <v/>
      </c>
      <c r="AS84" s="562" t="str">
        <f>IF(D84="","",IF(AX84="Condition","N/A",VLOOKUP(F84,'10. Condition and Temporal'!$B$6:$M$106,12,FALSE)))</f>
        <v/>
      </c>
      <c r="AT84" s="382" t="str">
        <f>IF(AS84="","",IF(AS84="N/A","1",VLOOKUP(AS84,'11. Lists'!$I$47:$K$80,3,FALSE)))</f>
        <v/>
      </c>
      <c r="AU84" s="561" t="str">
        <f>IF(D84="","",VLOOKUP(F84,'9. All Habitats + Multipliers'!$C$4:$K$102,8,FALSE))</f>
        <v/>
      </c>
      <c r="AV84" s="380" t="str">
        <f>IF(AU84="","",VLOOKUP(AU84,'11. Lists'!$J$35:$K$38,2,FALSE))</f>
        <v/>
      </c>
      <c r="AW84" s="379" t="str">
        <f>IF(D84="","",VLOOKUP(D84,'10. Condition and Temporal'!$B$6:$M$103,4,FALSE))</f>
        <v/>
      </c>
      <c r="AX84" s="662" t="str">
        <f t="shared" si="32"/>
        <v/>
      </c>
      <c r="AY84" s="642" t="s">
        <v>280</v>
      </c>
      <c r="AZ84" s="663" t="s">
        <v>280</v>
      </c>
      <c r="BA84" s="214">
        <v>19.0</v>
      </c>
      <c r="BB84" s="215" t="str">
        <f t="shared" si="33"/>
        <v/>
      </c>
      <c r="BC84" s="215" t="str">
        <f t="shared" si="34"/>
        <v/>
      </c>
      <c r="BD84" s="215" t="str">
        <f t="shared" si="35"/>
        <v/>
      </c>
      <c r="BE84" s="215" t="str">
        <f t="shared" si="36"/>
        <v/>
      </c>
      <c r="BF84" s="215" t="str">
        <f t="shared" si="37"/>
        <v/>
      </c>
      <c r="BG84" s="215" t="str">
        <f t="shared" si="38"/>
        <v/>
      </c>
      <c r="BH84" s="215" t="str">
        <f t="shared" si="39"/>
        <v/>
      </c>
      <c r="BI84" s="215" t="str">
        <f t="shared" si="40"/>
        <v/>
      </c>
      <c r="BJ84" s="215" t="str">
        <f t="shared" si="41"/>
        <v/>
      </c>
      <c r="BK84" s="215" t="str">
        <f t="shared" si="42"/>
        <v/>
      </c>
      <c r="BL84" s="215" t="str">
        <f t="shared" si="43"/>
        <v/>
      </c>
      <c r="BM84" s="215" t="str">
        <f t="shared" si="44"/>
        <v/>
      </c>
      <c r="BN84" s="215" t="str">
        <f t="shared" si="45"/>
        <v/>
      </c>
      <c r="BO84" s="215" t="str">
        <f t="shared" si="46"/>
        <v/>
      </c>
      <c r="BP84" s="215" t="str">
        <f t="shared" si="47"/>
        <v/>
      </c>
      <c r="BQ84" s="215" t="str">
        <f t="shared" si="48"/>
        <v/>
      </c>
      <c r="BR84" s="215" t="str">
        <f t="shared" si="49"/>
        <v/>
      </c>
      <c r="BS84" s="215" t="str">
        <f t="shared" si="50"/>
        <v/>
      </c>
      <c r="BT84" s="215" t="str">
        <f t="shared" si="51"/>
        <v/>
      </c>
      <c r="BU84" s="211" t="str">
        <f t="shared" si="52"/>
        <v/>
      </c>
      <c r="BV84" s="212" t="str">
        <f t="shared" si="53"/>
        <v/>
      </c>
      <c r="BW84" s="215" t="s">
        <v>204</v>
      </c>
      <c r="BX84" s="215">
        <f>BT64</f>
        <v>0</v>
      </c>
    </row>
    <row r="85" ht="14.25" customHeight="1">
      <c r="A85" s="1"/>
      <c r="B85" s="231">
        <v>20.0</v>
      </c>
      <c r="C85" s="385" t="str">
        <f t="shared" si="15"/>
        <v/>
      </c>
      <c r="D85" s="386" t="str">
        <f t="shared" si="16"/>
        <v/>
      </c>
      <c r="E85" s="387" t="str">
        <f t="shared" si="17"/>
        <v/>
      </c>
      <c r="F85" s="232"/>
      <c r="G85" s="54"/>
      <c r="H85" s="388" t="str">
        <f t="shared" si="18"/>
        <v/>
      </c>
      <c r="I85" s="668" t="str">
        <f t="shared" si="19"/>
        <v/>
      </c>
      <c r="J85" s="669" t="str">
        <f>IF(F85="","",VLOOKUP(F85,'10. Condition and Temporal'!$B$6:$F$103,5,FALSE))</f>
        <v/>
      </c>
      <c r="K85" s="446"/>
      <c r="L85" s="515" t="str">
        <f t="shared" si="20"/>
        <v/>
      </c>
      <c r="M85" s="670" t="str">
        <f t="shared" si="21"/>
        <v/>
      </c>
      <c r="N85" s="54"/>
      <c r="O85" s="394"/>
      <c r="P85" s="249"/>
      <c r="Q85" s="1"/>
      <c r="R85" s="161"/>
      <c r="S85" s="1"/>
      <c r="T85" s="361" t="str">
        <f t="shared" si="22"/>
        <v/>
      </c>
      <c r="U85" s="379" t="str">
        <f t="shared" si="23"/>
        <v/>
      </c>
      <c r="V85" s="380" t="str">
        <f t="shared" ref="V85:X85" si="71">IF($D85="","",V30)</f>
        <v/>
      </c>
      <c r="W85" s="560" t="str">
        <f t="shared" si="71"/>
        <v/>
      </c>
      <c r="X85" s="253" t="str">
        <f t="shared" si="71"/>
        <v/>
      </c>
      <c r="Y85" s="419"/>
      <c r="Z85" s="419"/>
      <c r="AA85" s="419"/>
      <c r="AB85" s="251" t="str">
        <f t="shared" si="25"/>
        <v/>
      </c>
      <c r="AC85" s="561" t="str">
        <f t="shared" si="26"/>
        <v/>
      </c>
      <c r="AD85" s="380" t="str">
        <f t="shared" si="27"/>
        <v/>
      </c>
      <c r="AE85" s="559" t="str">
        <f t="shared" si="28"/>
        <v/>
      </c>
      <c r="AF85" s="560" t="str">
        <f t="shared" si="29"/>
        <v/>
      </c>
      <c r="AG85" s="379" t="str">
        <f>IF(D85="","",VLOOKUP(F85,'9. All Habitats + Multipliers'!$C$4:$K$102,5,FALSE))</f>
        <v/>
      </c>
      <c r="AH85" s="380" t="str">
        <f>IF(AG85="","",VLOOKUP(AG85,'11. Lists'!$B$47:$D$49,2,FALSE))</f>
        <v/>
      </c>
      <c r="AI85" s="379" t="str">
        <f t="shared" si="30"/>
        <v/>
      </c>
      <c r="AJ85" s="215" t="str">
        <f>IF(AI85="","",VLOOKUP(AI85,'11. Lists'!$F$47:$G$51,2,FALSE))</f>
        <v/>
      </c>
      <c r="AK85" s="365"/>
      <c r="AL85" s="365"/>
      <c r="AM85" s="365"/>
      <c r="AN85" s="215" t="str">
        <f t="shared" si="31"/>
        <v/>
      </c>
      <c r="AO85" s="558" t="str">
        <f>IF(AN85="","",VLOOKUP(AN85,'11. Lists'!$F$36:$H$38,2,FALSE))</f>
        <v/>
      </c>
      <c r="AP85" s="380" t="str">
        <f>IF(AN85="","",VLOOKUP(AN85,'11. Lists'!$F$36:$H$38,3,FALSE))</f>
        <v/>
      </c>
      <c r="AQ85" s="379" t="str">
        <f>IF(D85="","",IF(AX85="Distinctiveness","N/A",VLOOKUP(F85,'10. Condition and Temporal'!$B$6:$L$103,11,FALSE)))</f>
        <v/>
      </c>
      <c r="AR85" s="382" t="str">
        <f>IF(AQ85="","",IF(AQ85="N/A","1",VLOOKUP(AQ85,'11. Lists'!$I$47:$K$80,3,FALSE)))</f>
        <v/>
      </c>
      <c r="AS85" s="562" t="str">
        <f>IF(D85="","",IF(AX85="Condition","N/A",VLOOKUP(F85,'10. Condition and Temporal'!$B$6:$M$106,12,FALSE)))</f>
        <v/>
      </c>
      <c r="AT85" s="382" t="str">
        <f>IF(AS85="","",IF(AS85="N/A","1",VLOOKUP(AS85,'11. Lists'!$I$47:$K$80,3,FALSE)))</f>
        <v/>
      </c>
      <c r="AU85" s="561" t="str">
        <f>IF(D85="","",VLOOKUP(F85,'9. All Habitats + Multipliers'!$C$4:$K$102,8,FALSE))</f>
        <v/>
      </c>
      <c r="AV85" s="380" t="str">
        <f>IF(AU85="","",VLOOKUP(AU85,'11. Lists'!$J$35:$K$38,2,FALSE))</f>
        <v/>
      </c>
      <c r="AW85" s="379" t="str">
        <f>IF(D85="","",VLOOKUP(D85,'10. Condition and Temporal'!$B$6:$M$103,4,FALSE))</f>
        <v/>
      </c>
      <c r="AX85" s="662" t="str">
        <f t="shared" si="32"/>
        <v/>
      </c>
      <c r="AY85" s="646" t="s">
        <v>280</v>
      </c>
      <c r="AZ85" s="663" t="s">
        <v>280</v>
      </c>
      <c r="BA85" s="253">
        <v>20.0</v>
      </c>
      <c r="BB85" s="215" t="str">
        <f t="shared" si="33"/>
        <v/>
      </c>
      <c r="BC85" s="215" t="str">
        <f t="shared" si="34"/>
        <v/>
      </c>
      <c r="BD85" s="215" t="str">
        <f t="shared" si="35"/>
        <v/>
      </c>
      <c r="BE85" s="215" t="str">
        <f t="shared" si="36"/>
        <v/>
      </c>
      <c r="BF85" s="215" t="str">
        <f t="shared" si="37"/>
        <v/>
      </c>
      <c r="BG85" s="215" t="str">
        <f t="shared" si="38"/>
        <v/>
      </c>
      <c r="BH85" s="215" t="str">
        <f t="shared" si="39"/>
        <v/>
      </c>
      <c r="BI85" s="215" t="str">
        <f t="shared" si="40"/>
        <v/>
      </c>
      <c r="BJ85" s="215" t="str">
        <f t="shared" si="41"/>
        <v/>
      </c>
      <c r="BK85" s="215" t="str">
        <f t="shared" si="42"/>
        <v/>
      </c>
      <c r="BL85" s="215" t="str">
        <f t="shared" si="43"/>
        <v/>
      </c>
      <c r="BM85" s="215" t="str">
        <f t="shared" si="44"/>
        <v/>
      </c>
      <c r="BN85" s="215" t="str">
        <f t="shared" si="45"/>
        <v/>
      </c>
      <c r="BO85" s="215" t="str">
        <f t="shared" si="46"/>
        <v/>
      </c>
      <c r="BP85" s="215" t="str">
        <f t="shared" si="47"/>
        <v/>
      </c>
      <c r="BQ85" s="215" t="str">
        <f t="shared" si="48"/>
        <v/>
      </c>
      <c r="BR85" s="215" t="str">
        <f t="shared" si="49"/>
        <v/>
      </c>
      <c r="BS85" s="215" t="str">
        <f t="shared" si="50"/>
        <v/>
      </c>
      <c r="BT85" s="215" t="str">
        <f t="shared" si="51"/>
        <v/>
      </c>
      <c r="BU85" s="211" t="str">
        <f t="shared" si="52"/>
        <v/>
      </c>
      <c r="BV85" s="212" t="str">
        <f t="shared" si="53"/>
        <v/>
      </c>
      <c r="BW85" s="215" t="s">
        <v>205</v>
      </c>
      <c r="BX85" s="215">
        <f>BU64</f>
        <v>0</v>
      </c>
    </row>
    <row r="86" ht="14.25" customHeight="1">
      <c r="A86" s="1"/>
      <c r="B86" s="1"/>
      <c r="C86" s="1"/>
      <c r="D86" s="1"/>
      <c r="E86" s="1"/>
      <c r="F86" s="1"/>
      <c r="G86" s="1"/>
      <c r="H86" s="319" t="s">
        <v>256</v>
      </c>
      <c r="I86" s="568">
        <f>SUM(I66:I85)</f>
        <v>0</v>
      </c>
      <c r="J86" s="569"/>
      <c r="K86" s="1"/>
      <c r="L86" s="391">
        <f>SUM(L66:L85)</f>
        <v>0</v>
      </c>
      <c r="M86" s="392">
        <f>SUM(M66:N85)</f>
        <v>0</v>
      </c>
      <c r="N86" s="393"/>
      <c r="O86" s="1"/>
      <c r="P86" s="1"/>
      <c r="Q86" s="1"/>
      <c r="R86" s="161"/>
      <c r="S86" s="1"/>
      <c r="T86" s="1"/>
      <c r="U86" s="1"/>
      <c r="V86" s="1"/>
      <c r="W86" s="1"/>
      <c r="X86" s="1"/>
      <c r="Y86" s="1"/>
      <c r="Z86" s="1"/>
      <c r="AA86" s="1"/>
      <c r="AB86" s="1"/>
      <c r="AC86" s="1"/>
      <c r="AD86" s="1"/>
      <c r="AE86" s="1"/>
      <c r="AF86" s="1"/>
      <c r="AG86" s="1"/>
      <c r="AH86" s="1"/>
      <c r="AI86" s="1"/>
      <c r="AJ86" s="10"/>
      <c r="AK86" s="10"/>
      <c r="AL86" s="10"/>
      <c r="AM86" s="10"/>
      <c r="AN86" s="10"/>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row>
    <row r="87" ht="14.25" customHeight="1">
      <c r="A87" s="1"/>
      <c r="B87" s="1"/>
      <c r="C87" s="154"/>
      <c r="D87" s="1"/>
      <c r="E87" s="1"/>
      <c r="F87" s="1"/>
      <c r="G87" s="1"/>
      <c r="H87" s="1"/>
      <c r="I87" s="1"/>
      <c r="J87" s="1"/>
      <c r="K87" s="1"/>
      <c r="L87" s="1"/>
      <c r="M87" s="1"/>
      <c r="N87" s="1"/>
      <c r="O87" s="1"/>
      <c r="P87" s="1"/>
      <c r="Q87" s="1"/>
      <c r="R87" s="161"/>
      <c r="S87" s="1"/>
      <c r="T87" s="1"/>
      <c r="U87" s="1"/>
      <c r="V87" s="1"/>
      <c r="W87" s="1"/>
      <c r="X87" s="1"/>
      <c r="Y87" s="1"/>
      <c r="Z87" s="1"/>
      <c r="AA87" s="1"/>
      <c r="AB87" s="1"/>
      <c r="AC87" s="1"/>
      <c r="AD87" s="1"/>
      <c r="AE87" s="1"/>
      <c r="AF87" s="1"/>
      <c r="AG87" s="1"/>
      <c r="AH87" s="1"/>
      <c r="AI87" s="1"/>
      <c r="AJ87" s="10"/>
      <c r="AK87" s="10"/>
      <c r="AL87" s="10"/>
      <c r="AM87" s="10"/>
      <c r="AN87" s="10"/>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row>
    <row r="88" ht="14.25" customHeight="1">
      <c r="A88" s="1"/>
      <c r="B88" s="1"/>
      <c r="C88" s="1"/>
      <c r="D88" s="1"/>
      <c r="E88" s="1"/>
      <c r="F88" s="1"/>
      <c r="G88" s="1"/>
      <c r="H88" s="1"/>
      <c r="I88" s="1"/>
      <c r="J88" s="1"/>
      <c r="K88" s="1"/>
      <c r="L88" s="1"/>
      <c r="M88" s="1"/>
      <c r="N88" s="1"/>
      <c r="O88" s="1"/>
      <c r="P88" s="1"/>
      <c r="Q88" s="1"/>
      <c r="R88" s="20"/>
      <c r="S88" s="1"/>
      <c r="T88" s="1"/>
      <c r="U88" s="1"/>
      <c r="V88" s="1"/>
      <c r="W88" s="1"/>
      <c r="X88" s="1"/>
      <c r="Y88" s="1"/>
      <c r="Z88" s="1"/>
      <c r="AA88" s="1"/>
      <c r="AB88" s="1"/>
      <c r="AC88" s="1"/>
      <c r="AD88" s="1"/>
      <c r="AE88" s="1"/>
      <c r="AF88" s="1"/>
      <c r="AG88" s="1"/>
      <c r="AH88" s="1"/>
      <c r="AI88" s="1"/>
      <c r="AJ88" s="10"/>
      <c r="AK88" s="10"/>
      <c r="AL88" s="10"/>
      <c r="AM88" s="10"/>
      <c r="AN88" s="10"/>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row>
    <row r="89" ht="18.75" customHeight="1">
      <c r="A89" s="1"/>
      <c r="B89" s="1"/>
      <c r="C89" s="1"/>
      <c r="D89" s="1"/>
      <c r="E89" s="1"/>
      <c r="F89" s="1"/>
      <c r="G89" s="1"/>
      <c r="H89" s="1"/>
      <c r="I89" s="1"/>
      <c r="J89" s="1"/>
      <c r="K89" s="1"/>
      <c r="L89" s="1"/>
      <c r="M89" s="1"/>
      <c r="N89" s="1"/>
      <c r="O89" s="1"/>
      <c r="P89" s="1"/>
      <c r="Q89" s="1"/>
      <c r="R89" s="153"/>
      <c r="S89" s="1"/>
      <c r="T89" s="1"/>
      <c r="U89" s="1"/>
      <c r="V89" s="1"/>
      <c r="W89" s="1"/>
      <c r="X89" s="1"/>
      <c r="Y89" s="1"/>
      <c r="Z89" s="1"/>
      <c r="AA89" s="1"/>
      <c r="AB89" s="1"/>
      <c r="AC89" s="1"/>
      <c r="AD89" s="1"/>
      <c r="AE89" s="1"/>
      <c r="AF89" s="1"/>
      <c r="AG89" s="1"/>
      <c r="AH89" s="1"/>
      <c r="AI89" s="1"/>
      <c r="AJ89" s="10"/>
      <c r="AK89" s="10"/>
      <c r="AL89" s="10"/>
      <c r="AM89" s="10"/>
      <c r="AN89" s="10"/>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row>
    <row r="90" ht="14.25" customHeight="1">
      <c r="A90" s="1"/>
      <c r="B90" s="1"/>
      <c r="C90" s="1"/>
      <c r="D90" s="1"/>
      <c r="E90" s="1"/>
      <c r="F90" s="1"/>
      <c r="G90" s="1"/>
      <c r="H90" s="1"/>
      <c r="I90" s="1"/>
      <c r="J90" s="1"/>
      <c r="K90" s="1"/>
      <c r="L90" s="1"/>
      <c r="M90" s="1"/>
      <c r="N90" s="1"/>
      <c r="O90" s="1"/>
      <c r="P90" s="1"/>
      <c r="Q90" s="1"/>
      <c r="R90" s="161"/>
      <c r="S90" s="1"/>
      <c r="T90" s="1"/>
      <c r="U90" s="1"/>
      <c r="V90" s="1"/>
      <c r="W90" s="1"/>
      <c r="X90" s="1"/>
      <c r="Y90" s="1"/>
      <c r="Z90" s="1"/>
      <c r="AA90" s="1"/>
      <c r="AB90" s="1"/>
      <c r="AC90" s="1"/>
      <c r="AD90" s="1"/>
      <c r="AE90" s="1"/>
      <c r="AF90" s="1"/>
      <c r="AG90" s="1"/>
      <c r="AH90" s="1"/>
      <c r="AI90" s="1"/>
      <c r="AJ90" s="10"/>
      <c r="AK90" s="10"/>
      <c r="AL90" s="10"/>
      <c r="AM90" s="10"/>
      <c r="AN90" s="10"/>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row>
    <row r="91" ht="14.25" customHeight="1">
      <c r="A91" s="453" t="s">
        <v>220</v>
      </c>
      <c r="B91" s="3"/>
      <c r="C91" s="3"/>
      <c r="D91" s="3"/>
      <c r="E91" s="3"/>
      <c r="F91" s="3"/>
      <c r="G91" s="3"/>
      <c r="H91" s="3"/>
      <c r="I91" s="3"/>
      <c r="J91" s="3"/>
      <c r="K91" s="3"/>
      <c r="L91" s="3"/>
      <c r="M91" s="3"/>
      <c r="N91" s="3"/>
      <c r="O91" s="3"/>
      <c r="P91" s="3"/>
      <c r="Q91" s="4"/>
      <c r="R91" s="161"/>
      <c r="S91" s="1"/>
      <c r="T91" s="1"/>
      <c r="U91" s="1"/>
      <c r="V91" s="1"/>
      <c r="W91" s="1"/>
      <c r="X91" s="1"/>
      <c r="Y91" s="1"/>
      <c r="Z91" s="1"/>
      <c r="AA91" s="1"/>
      <c r="AB91" s="1"/>
      <c r="AC91" s="1"/>
      <c r="AD91" s="1"/>
      <c r="AE91" s="1"/>
      <c r="AF91" s="1"/>
      <c r="AG91" s="1"/>
      <c r="AH91" s="1"/>
      <c r="AI91" s="1"/>
      <c r="AJ91" s="10"/>
      <c r="AK91" s="10"/>
      <c r="AL91" s="10"/>
      <c r="AM91" s="10"/>
      <c r="AN91" s="10"/>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row>
    <row r="92" ht="14.25" customHeight="1">
      <c r="A92" s="5"/>
      <c r="Q92" s="6"/>
      <c r="R92" s="161"/>
      <c r="S92" s="1"/>
      <c r="T92" s="1"/>
      <c r="U92" s="1"/>
      <c r="V92" s="1"/>
      <c r="W92" s="1"/>
      <c r="X92" s="1"/>
      <c r="Y92" s="1"/>
      <c r="Z92" s="1"/>
      <c r="AA92" s="1"/>
      <c r="AB92" s="1"/>
      <c r="AC92" s="1"/>
      <c r="AD92" s="1"/>
      <c r="AE92" s="1"/>
      <c r="AF92" s="1"/>
      <c r="AG92" s="1"/>
      <c r="AH92" s="1"/>
      <c r="AI92" s="1"/>
      <c r="AJ92" s="10"/>
      <c r="AK92" s="10"/>
      <c r="AL92" s="10"/>
      <c r="AM92" s="10"/>
      <c r="AN92" s="10"/>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row>
    <row r="93" ht="14.25" customHeight="1">
      <c r="A93" s="7"/>
      <c r="B93" s="8"/>
      <c r="C93" s="8"/>
      <c r="D93" s="8"/>
      <c r="E93" s="8"/>
      <c r="F93" s="8"/>
      <c r="G93" s="8"/>
      <c r="H93" s="8"/>
      <c r="I93" s="8"/>
      <c r="J93" s="8"/>
      <c r="K93" s="8"/>
      <c r="L93" s="8"/>
      <c r="M93" s="8"/>
      <c r="N93" s="8"/>
      <c r="O93" s="8"/>
      <c r="P93" s="8"/>
      <c r="Q93" s="9"/>
      <c r="R93" s="161"/>
      <c r="S93" s="1"/>
      <c r="T93" s="1"/>
      <c r="U93" s="1"/>
      <c r="V93" s="1"/>
      <c r="W93" s="1"/>
      <c r="X93" s="1"/>
      <c r="Y93" s="1"/>
      <c r="Z93" s="1"/>
      <c r="AA93" s="1"/>
      <c r="AB93" s="1"/>
      <c r="AC93" s="1"/>
      <c r="AD93" s="1"/>
      <c r="AE93" s="1"/>
      <c r="AF93" s="1"/>
      <c r="AG93" s="1"/>
      <c r="AH93" s="1"/>
      <c r="AI93" s="1"/>
      <c r="AJ93" s="10"/>
      <c r="AK93" s="10"/>
      <c r="AL93" s="10"/>
      <c r="AM93" s="10"/>
      <c r="AN93" s="10"/>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row>
    <row r="94" ht="14.25" customHeight="1">
      <c r="A94" s="1"/>
      <c r="B94" s="1"/>
      <c r="C94" s="1"/>
      <c r="D94" s="1"/>
      <c r="E94" s="1"/>
      <c r="F94" s="1"/>
      <c r="G94" s="1"/>
      <c r="H94" s="1"/>
      <c r="I94" s="1"/>
      <c r="J94" s="1"/>
      <c r="K94" s="1"/>
      <c r="L94" s="1"/>
      <c r="M94" s="1"/>
      <c r="N94" s="1"/>
      <c r="O94" s="1"/>
      <c r="P94" s="1"/>
      <c r="Q94" s="1"/>
      <c r="R94" s="161"/>
      <c r="S94" s="1"/>
      <c r="T94" s="1"/>
      <c r="U94" s="1"/>
      <c r="V94" s="1"/>
      <c r="W94" s="1"/>
      <c r="X94" s="1"/>
      <c r="Y94" s="1"/>
      <c r="Z94" s="1"/>
      <c r="AA94" s="1"/>
      <c r="AB94" s="1"/>
      <c r="AC94" s="1"/>
      <c r="AD94" s="1"/>
      <c r="AE94" s="1"/>
      <c r="AF94" s="1"/>
      <c r="AG94" s="1"/>
      <c r="AH94" s="1"/>
      <c r="AI94" s="1"/>
      <c r="AJ94" s="10"/>
      <c r="AK94" s="10"/>
      <c r="AL94" s="10"/>
      <c r="AM94" s="10"/>
      <c r="AN94" s="10"/>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row>
    <row r="95" ht="14.25" customHeight="1">
      <c r="A95" s="1"/>
      <c r="B95" s="1"/>
      <c r="C95" s="128" t="s">
        <v>221</v>
      </c>
      <c r="D95" s="154"/>
      <c r="E95" s="154"/>
      <c r="F95" s="154"/>
      <c r="G95" s="154"/>
      <c r="H95" s="1"/>
      <c r="I95" s="1"/>
      <c r="J95" s="1"/>
      <c r="K95" s="1"/>
      <c r="L95" s="1"/>
      <c r="M95" s="1"/>
      <c r="N95" s="1"/>
      <c r="O95" s="1"/>
      <c r="P95" s="1"/>
      <c r="Q95" s="1"/>
      <c r="R95" s="161"/>
      <c r="S95" s="1"/>
      <c r="T95" s="1"/>
      <c r="U95" s="1"/>
      <c r="V95" s="1"/>
      <c r="W95" s="1"/>
      <c r="X95" s="1"/>
      <c r="Y95" s="1"/>
      <c r="Z95" s="1"/>
      <c r="AA95" s="1"/>
      <c r="AB95" s="1"/>
      <c r="AC95" s="1"/>
      <c r="AD95" s="1"/>
      <c r="AE95" s="1"/>
      <c r="AF95" s="1"/>
      <c r="AG95" s="1"/>
      <c r="AH95" s="1"/>
      <c r="AI95" s="1"/>
      <c r="AJ95" s="10"/>
      <c r="AK95" s="10"/>
      <c r="AL95" s="10"/>
      <c r="AM95" s="10"/>
      <c r="AN95" s="10"/>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row>
    <row r="96" ht="14.25" customHeight="1">
      <c r="A96" s="1"/>
      <c r="B96" s="1"/>
      <c r="C96" s="1"/>
      <c r="D96" s="1"/>
      <c r="E96" s="1"/>
      <c r="F96" s="1"/>
      <c r="G96" s="1"/>
      <c r="H96" s="1"/>
      <c r="I96" s="1"/>
      <c r="J96" s="1"/>
      <c r="K96" s="1"/>
      <c r="L96" s="1"/>
      <c r="M96" s="1"/>
      <c r="N96" s="1"/>
      <c r="O96" s="1"/>
      <c r="P96" s="1"/>
      <c r="Q96" s="1"/>
      <c r="R96" s="161"/>
      <c r="S96" s="1"/>
      <c r="T96" s="1"/>
      <c r="U96" s="1"/>
      <c r="V96" s="1"/>
      <c r="W96" s="1"/>
      <c r="X96" s="1"/>
      <c r="Y96" s="1"/>
      <c r="Z96" s="1"/>
      <c r="AA96" s="1"/>
      <c r="AB96" s="1"/>
      <c r="AC96" s="1"/>
      <c r="AD96" s="1"/>
      <c r="AE96" s="1"/>
      <c r="AF96" s="1"/>
      <c r="AG96" s="1"/>
      <c r="AH96" s="1"/>
      <c r="AI96" s="1"/>
      <c r="AJ96" s="10"/>
      <c r="AK96" s="10"/>
      <c r="AL96" s="10"/>
      <c r="AM96" s="10"/>
      <c r="AN96" s="10"/>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row>
    <row r="97" ht="36.0" customHeight="1">
      <c r="A97" s="1"/>
      <c r="B97" s="1"/>
      <c r="C97" s="571" t="s">
        <v>261</v>
      </c>
      <c r="D97" s="56"/>
      <c r="E97" s="572" t="str">
        <f t="array" ref="E97">IF(OR(I103:I106="No ▲"),"Error - Trading Rules Not Satisfied ▲","Trading Rules Satisfied ✓")</f>
        <v>Trading Rules Satisfied ✓</v>
      </c>
      <c r="F97" s="241"/>
      <c r="G97" s="241"/>
      <c r="H97" s="241"/>
      <c r="I97" s="239"/>
      <c r="J97" s="10">
        <f>IFERROR(FIND("Error",E97),0)</f>
        <v>0</v>
      </c>
      <c r="K97" s="1"/>
      <c r="L97" s="1"/>
      <c r="M97" s="1"/>
      <c r="N97" s="1"/>
      <c r="O97" s="1"/>
      <c r="P97" s="1"/>
      <c r="Q97" s="1"/>
      <c r="R97" s="20"/>
      <c r="S97" s="1"/>
      <c r="T97" s="1"/>
      <c r="U97" s="1"/>
      <c r="V97" s="1"/>
      <c r="W97" s="1"/>
      <c r="X97" s="1"/>
      <c r="Y97" s="1"/>
      <c r="Z97" s="1"/>
      <c r="AA97" s="1"/>
      <c r="AB97" s="1"/>
      <c r="AC97" s="1"/>
      <c r="AD97" s="1"/>
      <c r="AE97" s="1"/>
      <c r="AF97" s="1"/>
      <c r="AG97" s="1"/>
      <c r="AH97" s="1"/>
      <c r="AI97" s="1"/>
      <c r="AJ97" s="10"/>
      <c r="AK97" s="10"/>
      <c r="AL97" s="10"/>
      <c r="AM97" s="10"/>
      <c r="AN97" s="10"/>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row>
    <row r="98" ht="14.25" customHeight="1">
      <c r="A98" s="1"/>
      <c r="B98" s="1"/>
      <c r="C98" s="1"/>
      <c r="D98" s="1"/>
      <c r="E98" s="1"/>
      <c r="F98" s="1"/>
      <c r="G98" s="1"/>
      <c r="H98" s="1"/>
      <c r="I98" s="1"/>
      <c r="J98" s="1"/>
      <c r="K98" s="1"/>
      <c r="L98" s="1"/>
      <c r="M98" s="1"/>
      <c r="N98" s="1"/>
      <c r="O98" s="1"/>
      <c r="P98" s="1"/>
      <c r="Q98" s="1"/>
      <c r="R98" s="153"/>
      <c r="S98" s="1"/>
      <c r="T98" s="1"/>
      <c r="U98" s="1"/>
      <c r="V98" s="1"/>
      <c r="W98" s="1"/>
      <c r="X98" s="1"/>
      <c r="Y98" s="1"/>
      <c r="Z98" s="1"/>
      <c r="AA98" s="1"/>
      <c r="AB98" s="1"/>
      <c r="AC98" s="1"/>
      <c r="AD98" s="1"/>
      <c r="AE98" s="1"/>
      <c r="AF98" s="1"/>
      <c r="AG98" s="1"/>
      <c r="AH98" s="1"/>
      <c r="AI98" s="1"/>
      <c r="AJ98" s="10"/>
      <c r="AK98" s="10"/>
      <c r="AL98" s="10"/>
      <c r="AM98" s="10"/>
      <c r="AN98" s="10"/>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row>
    <row r="99" ht="14.25" customHeight="1">
      <c r="A99" s="1"/>
      <c r="B99" s="1"/>
      <c r="C99" s="128" t="s">
        <v>224</v>
      </c>
      <c r="D99" s="1"/>
      <c r="E99" s="1"/>
      <c r="F99" s="1"/>
      <c r="G99" s="1"/>
      <c r="H99" s="1"/>
      <c r="I99" s="1"/>
      <c r="J99" s="1"/>
      <c r="K99" s="1"/>
      <c r="L99" s="1"/>
      <c r="M99" s="1"/>
      <c r="N99" s="1"/>
      <c r="O99" s="1"/>
      <c r="P99" s="1"/>
      <c r="Q99" s="1"/>
      <c r="R99" s="161"/>
      <c r="S99" s="1"/>
      <c r="T99" s="1"/>
      <c r="U99" s="1"/>
      <c r="V99" s="1"/>
      <c r="W99" s="1"/>
      <c r="X99" s="1"/>
      <c r="Y99" s="1"/>
      <c r="Z99" s="1"/>
      <c r="AA99" s="1"/>
      <c r="AB99" s="1"/>
      <c r="AC99" s="1"/>
      <c r="AD99" s="1"/>
      <c r="AE99" s="1"/>
      <c r="AF99" s="1"/>
      <c r="AG99" s="1"/>
      <c r="AH99" s="1"/>
      <c r="AI99" s="1"/>
      <c r="AJ99" s="10"/>
      <c r="AK99" s="10"/>
      <c r="AL99" s="10"/>
      <c r="AM99" s="10"/>
      <c r="AN99" s="10"/>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row>
    <row r="100" ht="14.25" customHeight="1">
      <c r="A100" s="1"/>
      <c r="B100" s="1"/>
      <c r="C100" s="1"/>
      <c r="D100" s="1"/>
      <c r="E100" s="1"/>
      <c r="F100" s="1"/>
      <c r="G100" s="1"/>
      <c r="H100" s="1"/>
      <c r="I100" s="1"/>
      <c r="J100" s="1"/>
      <c r="K100" s="1"/>
      <c r="L100" s="1"/>
      <c r="M100" s="1"/>
      <c r="N100" s="1"/>
      <c r="O100" s="1"/>
      <c r="P100" s="1"/>
      <c r="Q100" s="1"/>
      <c r="R100" s="20"/>
      <c r="S100" s="1"/>
      <c r="T100" s="1"/>
      <c r="U100" s="1"/>
      <c r="V100" s="1"/>
      <c r="W100" s="1"/>
      <c r="X100" s="1"/>
      <c r="Y100" s="1"/>
      <c r="Z100" s="1"/>
      <c r="AA100" s="1"/>
      <c r="AB100" s="1"/>
      <c r="AC100" s="1"/>
      <c r="AD100" s="1"/>
      <c r="AE100" s="1"/>
      <c r="AF100" s="1"/>
      <c r="AG100" s="1"/>
      <c r="AH100" s="1"/>
      <c r="AI100" s="1"/>
      <c r="AJ100" s="10"/>
      <c r="AK100" s="10"/>
      <c r="AL100" s="10"/>
      <c r="AM100" s="10"/>
      <c r="AN100" s="10"/>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row>
    <row r="101" ht="14.25" customHeight="1">
      <c r="A101" s="1"/>
      <c r="B101" s="1"/>
      <c r="C101" s="1"/>
      <c r="D101" s="1"/>
      <c r="E101" s="1"/>
      <c r="F101" s="1"/>
      <c r="G101" s="1"/>
      <c r="H101" s="1"/>
      <c r="I101" s="1"/>
      <c r="J101" s="461"/>
      <c r="K101" s="1"/>
      <c r="L101" s="1"/>
      <c r="M101" s="1"/>
      <c r="N101" s="1"/>
      <c r="O101" s="1"/>
      <c r="P101" s="1"/>
      <c r="Q101" s="1"/>
      <c r="R101" s="153"/>
      <c r="S101" s="1"/>
      <c r="T101" s="1"/>
      <c r="U101" s="1"/>
      <c r="V101" s="1"/>
      <c r="W101" s="1"/>
      <c r="X101" s="1"/>
      <c r="Y101" s="1"/>
      <c r="Z101" s="1"/>
      <c r="AA101" s="1"/>
      <c r="AB101" s="1"/>
      <c r="AC101" s="1"/>
      <c r="AD101" s="1"/>
      <c r="AE101" s="1"/>
      <c r="AF101" s="1"/>
      <c r="AG101" s="1"/>
      <c r="AH101" s="1"/>
      <c r="AI101" s="1"/>
      <c r="AJ101" s="10"/>
      <c r="AK101" s="10"/>
      <c r="AL101" s="10"/>
      <c r="AM101" s="10"/>
      <c r="AN101" s="10"/>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row>
    <row r="102" ht="40.5" customHeight="1">
      <c r="A102" s="1"/>
      <c r="B102" s="1"/>
      <c r="C102" s="671" t="s">
        <v>162</v>
      </c>
      <c r="D102" s="672" t="s">
        <v>107</v>
      </c>
      <c r="E102" s="672" t="s">
        <v>286</v>
      </c>
      <c r="F102" s="672" t="s">
        <v>227</v>
      </c>
      <c r="G102" s="672" t="s">
        <v>228</v>
      </c>
      <c r="H102" s="672" t="s">
        <v>229</v>
      </c>
      <c r="I102" s="575" t="s">
        <v>230</v>
      </c>
      <c r="J102" s="1"/>
      <c r="K102" s="1"/>
      <c r="L102" s="1"/>
      <c r="M102" s="1"/>
      <c r="N102" s="1"/>
      <c r="O102" s="1"/>
      <c r="P102" s="1"/>
      <c r="Q102" s="1"/>
      <c r="R102" s="161"/>
      <c r="S102" s="1"/>
      <c r="T102" s="1"/>
      <c r="U102" s="1"/>
      <c r="V102" s="1"/>
      <c r="W102" s="1"/>
      <c r="X102" s="1"/>
      <c r="Y102" s="1"/>
      <c r="Z102" s="1"/>
      <c r="AA102" s="1"/>
      <c r="AB102" s="1"/>
      <c r="AC102" s="1"/>
      <c r="AD102" s="1"/>
      <c r="AE102" s="1"/>
      <c r="AF102" s="1"/>
      <c r="AG102" s="1"/>
      <c r="AH102" s="1"/>
      <c r="AI102" s="1"/>
      <c r="AJ102" s="10"/>
      <c r="AK102" s="10"/>
      <c r="AL102" s="10"/>
      <c r="AM102" s="10"/>
      <c r="AN102" s="10"/>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row>
    <row r="103" ht="30.0" customHeight="1">
      <c r="A103" s="1"/>
      <c r="B103" s="1"/>
      <c r="C103" s="673" t="s">
        <v>279</v>
      </c>
      <c r="D103" s="577" t="s">
        <v>242</v>
      </c>
      <c r="E103" s="674" t="s">
        <v>287</v>
      </c>
      <c r="F103" s="675">
        <f>SUMIF($D$11:$E$30, $E$103, $L$11:$L$30)</f>
        <v>0</v>
      </c>
      <c r="G103" s="675">
        <f>IF($I$59+$I$86+$P$1=0,0,SUMIF($D$39:$D$58,$E$103,$L$39:$N$58)+SUMIF($F$66:$G$85,$E$103,$L$66:$L$85)+SUMIF($D$11:$E$30,$E$103,$AE$11:$AE$30))</f>
        <v>0</v>
      </c>
      <c r="H103" s="675">
        <f>$G$103-$F$103</f>
        <v>0</v>
      </c>
      <c r="I103" s="580" t="str">
        <f>IF(AND($H$103&gt;=0, H104&gt;=0),"Yes ✓", "No ▲")</f>
        <v>Yes ✓</v>
      </c>
      <c r="J103" s="1"/>
      <c r="K103" s="1"/>
      <c r="L103" s="1"/>
      <c r="M103" s="1"/>
      <c r="N103" s="1"/>
      <c r="O103" s="1"/>
      <c r="P103" s="1"/>
      <c r="Q103" s="1"/>
      <c r="R103" s="161"/>
      <c r="S103" s="1"/>
      <c r="T103" s="1"/>
      <c r="U103" s="1"/>
      <c r="V103" s="1"/>
      <c r="W103" s="1"/>
      <c r="X103" s="1"/>
      <c r="Y103" s="1"/>
      <c r="Z103" s="1"/>
      <c r="AA103" s="1"/>
      <c r="AB103" s="1"/>
      <c r="AC103" s="1"/>
      <c r="AD103" s="1"/>
      <c r="AE103" s="1"/>
      <c r="AF103" s="1"/>
      <c r="AG103" s="1"/>
      <c r="AH103" s="1"/>
      <c r="AI103" s="1"/>
      <c r="AJ103" s="10"/>
      <c r="AK103" s="10"/>
      <c r="AL103" s="10"/>
      <c r="AM103" s="10"/>
      <c r="AN103" s="10"/>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row>
    <row r="104" ht="30.0" customHeight="1">
      <c r="A104" s="1"/>
      <c r="B104" s="1"/>
      <c r="C104" s="76"/>
      <c r="D104" s="581"/>
      <c r="E104" s="466" t="s">
        <v>288</v>
      </c>
      <c r="F104" s="676">
        <f>SUMIF($D$11:$E$30,$E$104,$L$11:$L$30)</f>
        <v>0</v>
      </c>
      <c r="G104" s="676">
        <f>IF($I$59+$I$86+$P$1=0,0,SUMIF($D$39:$D$58,$E$104,$L$39:$N$58)+SUMIF($F$66:$G$85,$E$104,$L$66:$L$85)+SUMIF($D$11:$E$30,$E$104,$AE$11:$AE$30))</f>
        <v>0</v>
      </c>
      <c r="H104" s="676">
        <f>$G$104-$F$104</f>
        <v>0</v>
      </c>
      <c r="I104" s="584"/>
      <c r="J104" s="1"/>
      <c r="K104" s="1"/>
      <c r="L104" s="1"/>
      <c r="M104" s="1"/>
      <c r="N104" s="1"/>
      <c r="O104" s="1"/>
      <c r="P104" s="1"/>
      <c r="Q104" s="1"/>
      <c r="R104" s="161"/>
      <c r="S104" s="1"/>
      <c r="T104" s="1"/>
      <c r="U104" s="1"/>
      <c r="V104" s="1"/>
      <c r="W104" s="1"/>
      <c r="X104" s="1"/>
      <c r="Y104" s="1"/>
      <c r="Z104" s="1"/>
      <c r="AA104" s="1"/>
      <c r="AB104" s="1"/>
      <c r="AC104" s="1"/>
      <c r="AD104" s="1"/>
      <c r="AE104" s="1"/>
      <c r="AF104" s="1"/>
      <c r="AG104" s="1"/>
      <c r="AH104" s="1"/>
      <c r="AI104" s="1"/>
      <c r="AJ104" s="10"/>
      <c r="AK104" s="10"/>
      <c r="AL104" s="10"/>
      <c r="AM104" s="10"/>
      <c r="AN104" s="10"/>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row>
    <row r="105" ht="30.0" customHeight="1">
      <c r="A105" s="1"/>
      <c r="B105" s="1"/>
      <c r="C105" s="76"/>
      <c r="D105" s="138"/>
      <c r="E105" s="585" t="s">
        <v>267</v>
      </c>
      <c r="F105" s="586">
        <f t="shared" ref="F105:G105" si="72">SUM(F103:F104)</f>
        <v>0</v>
      </c>
      <c r="G105" s="586">
        <f t="shared" si="72"/>
        <v>0</v>
      </c>
      <c r="H105" s="586">
        <f>SUM($H$103:$H$104)</f>
        <v>0</v>
      </c>
      <c r="I105" s="587"/>
      <c r="J105" s="10">
        <f>IF($I$103= "No ▲",1,0)</f>
        <v>0</v>
      </c>
      <c r="K105" s="1"/>
      <c r="L105" s="1"/>
      <c r="M105" s="1"/>
      <c r="N105" s="1"/>
      <c r="O105" s="1"/>
      <c r="P105" s="1"/>
      <c r="Q105" s="1"/>
      <c r="R105" s="161"/>
      <c r="S105" s="1"/>
      <c r="T105" s="1"/>
      <c r="U105" s="1"/>
      <c r="V105" s="1"/>
      <c r="W105" s="1"/>
      <c r="X105" s="1"/>
      <c r="Y105" s="1"/>
      <c r="Z105" s="1"/>
      <c r="AA105" s="1"/>
      <c r="AB105" s="1"/>
      <c r="AC105" s="1"/>
      <c r="AD105" s="1"/>
      <c r="AE105" s="1"/>
      <c r="AF105" s="1"/>
      <c r="AG105" s="1"/>
      <c r="AH105" s="1"/>
      <c r="AI105" s="1"/>
      <c r="AJ105" s="10"/>
      <c r="AK105" s="10"/>
      <c r="AL105" s="10"/>
      <c r="AM105" s="10"/>
      <c r="AN105" s="10"/>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row>
    <row r="106" ht="30.0" customHeight="1">
      <c r="A106" s="1"/>
      <c r="B106" s="1"/>
      <c r="C106" s="79"/>
      <c r="D106" s="588" t="s">
        <v>243</v>
      </c>
      <c r="E106" s="677" t="s">
        <v>289</v>
      </c>
      <c r="F106" s="678">
        <f>SUMIF($D$11:$E$30,$E$106,$L$11:$L$30)</f>
        <v>0</v>
      </c>
      <c r="G106" s="678">
        <f>IF($I$59+$I$86+$P$1=0,0,SUMIF($D$39:$D$58,$E$106,$L$39:$N$58)+SUMIF($F$66:$G$85,$E$106,$L$66:$L$85)+SUMIF($D$11:$E$30,$E$106,$AE$11:$AE$30))</f>
        <v>0</v>
      </c>
      <c r="H106" s="678">
        <f>$G$106-$F$106</f>
        <v>0</v>
      </c>
      <c r="I106" s="591" t="str">
        <f>IF($G$107&gt;=0,"Yes ✓", "No ▲")</f>
        <v>Yes ✓</v>
      </c>
      <c r="J106" s="10">
        <f>IF($I$106= "No ▲",1,0)</f>
        <v>0</v>
      </c>
      <c r="K106" s="1"/>
      <c r="L106" s="1"/>
      <c r="M106" s="1"/>
      <c r="N106" s="1"/>
      <c r="O106" s="1"/>
      <c r="P106" s="1"/>
      <c r="Q106" s="1"/>
      <c r="R106" s="161"/>
      <c r="S106" s="1"/>
      <c r="T106" s="1"/>
      <c r="U106" s="1"/>
      <c r="V106" s="1"/>
      <c r="W106" s="1"/>
      <c r="X106" s="1"/>
      <c r="Y106" s="1"/>
      <c r="Z106" s="1"/>
      <c r="AA106" s="1"/>
      <c r="AB106" s="1"/>
      <c r="AC106" s="1"/>
      <c r="AD106" s="1"/>
      <c r="AE106" s="1"/>
      <c r="AF106" s="1"/>
      <c r="AG106" s="1"/>
      <c r="AH106" s="1"/>
      <c r="AI106" s="1"/>
      <c r="AJ106" s="10"/>
      <c r="AK106" s="10"/>
      <c r="AL106" s="10"/>
      <c r="AM106" s="10"/>
      <c r="AN106" s="10"/>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row>
    <row r="107" ht="12.0" customHeight="1">
      <c r="A107" s="1"/>
      <c r="B107" s="1"/>
      <c r="C107" s="1"/>
      <c r="D107" s="1"/>
      <c r="E107" s="1"/>
      <c r="F107" s="1"/>
      <c r="G107" s="484">
        <f>IF(H105&gt;0,($H$105+$H$106),H106)</f>
        <v>0</v>
      </c>
      <c r="H107" s="1"/>
      <c r="I107" s="1"/>
      <c r="J107" s="461"/>
      <c r="K107" s="1"/>
      <c r="L107" s="1"/>
      <c r="M107" s="1"/>
      <c r="N107" s="1"/>
      <c r="O107" s="1"/>
      <c r="P107" s="1"/>
      <c r="Q107" s="1"/>
      <c r="R107" s="161"/>
      <c r="S107" s="1"/>
      <c r="T107" s="1"/>
      <c r="U107" s="1"/>
      <c r="V107" s="1"/>
      <c r="W107" s="1"/>
      <c r="X107" s="1"/>
      <c r="Y107" s="1"/>
      <c r="Z107" s="1"/>
      <c r="AA107" s="1"/>
      <c r="AB107" s="1"/>
      <c r="AC107" s="1"/>
      <c r="AD107" s="1"/>
      <c r="AE107" s="1"/>
      <c r="AF107" s="1"/>
      <c r="AG107" s="1"/>
      <c r="AH107" s="1"/>
      <c r="AI107" s="1"/>
      <c r="AJ107" s="10"/>
      <c r="AK107" s="10"/>
      <c r="AL107" s="10"/>
      <c r="AM107" s="10"/>
      <c r="AN107" s="10"/>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row>
    <row r="108" ht="14.25" customHeight="1">
      <c r="A108" s="1"/>
      <c r="B108" s="1"/>
      <c r="C108" s="156" t="s">
        <v>290</v>
      </c>
      <c r="D108" s="179"/>
      <c r="E108" s="179"/>
      <c r="F108" s="122"/>
      <c r="G108" s="594">
        <f>$H$105</f>
        <v>0</v>
      </c>
      <c r="H108" s="1"/>
      <c r="I108" s="1"/>
      <c r="J108" s="461"/>
      <c r="K108" s="1"/>
      <c r="L108" s="1"/>
      <c r="M108" s="1"/>
      <c r="N108" s="1"/>
      <c r="O108" s="1"/>
      <c r="P108" s="1"/>
      <c r="Q108" s="1"/>
      <c r="R108" s="161"/>
      <c r="S108" s="1"/>
      <c r="T108" s="1"/>
      <c r="U108" s="1"/>
      <c r="V108" s="1"/>
      <c r="W108" s="1"/>
      <c r="X108" s="1"/>
      <c r="Y108" s="1"/>
      <c r="Z108" s="1"/>
      <c r="AA108" s="1"/>
      <c r="AB108" s="1"/>
      <c r="AC108" s="1"/>
      <c r="AD108" s="1"/>
      <c r="AE108" s="1"/>
      <c r="AF108" s="1"/>
      <c r="AG108" s="1"/>
      <c r="AH108" s="1"/>
      <c r="AI108" s="1"/>
      <c r="AJ108" s="10"/>
      <c r="AK108" s="10"/>
      <c r="AL108" s="10"/>
      <c r="AM108" s="10"/>
      <c r="AN108" s="10"/>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row>
    <row r="109" ht="14.25" customHeight="1">
      <c r="A109" s="1"/>
      <c r="B109" s="1"/>
      <c r="C109" s="598" t="s">
        <v>291</v>
      </c>
      <c r="D109" s="53"/>
      <c r="E109" s="53"/>
      <c r="F109" s="51"/>
      <c r="G109" s="599">
        <f>IF($H$105&lt;=0,$H$106,($H$106+$H$105))</f>
        <v>0</v>
      </c>
      <c r="H109" s="1"/>
      <c r="I109" s="1"/>
      <c r="J109" s="1"/>
      <c r="K109" s="1"/>
      <c r="L109" s="1"/>
      <c r="M109" s="1"/>
      <c r="N109" s="1"/>
      <c r="O109" s="1"/>
      <c r="P109" s="1"/>
      <c r="Q109" s="1"/>
      <c r="R109" s="161"/>
      <c r="S109" s="1"/>
      <c r="T109" s="1"/>
      <c r="U109" s="1"/>
      <c r="V109" s="1"/>
      <c r="W109" s="1"/>
      <c r="X109" s="1"/>
      <c r="Y109" s="1"/>
      <c r="Z109" s="1"/>
      <c r="AA109" s="1"/>
      <c r="AB109" s="1"/>
      <c r="AC109" s="1"/>
      <c r="AD109" s="1"/>
      <c r="AE109" s="1"/>
      <c r="AF109" s="1"/>
      <c r="AG109" s="1"/>
      <c r="AH109" s="1"/>
      <c r="AI109" s="1"/>
      <c r="AJ109" s="10"/>
      <c r="AK109" s="10"/>
      <c r="AL109" s="10"/>
      <c r="AM109" s="10"/>
      <c r="AN109" s="10"/>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row>
    <row r="110" ht="14.25" customHeight="1">
      <c r="A110" s="1"/>
      <c r="B110" s="1"/>
      <c r="C110" s="1"/>
      <c r="D110" s="1"/>
      <c r="E110" s="1"/>
      <c r="F110" s="1"/>
      <c r="G110" s="1"/>
      <c r="H110" s="1"/>
      <c r="I110" s="1"/>
      <c r="J110" s="1"/>
      <c r="K110" s="1"/>
      <c r="L110" s="1"/>
      <c r="M110" s="1"/>
      <c r="N110" s="1"/>
      <c r="O110" s="1"/>
      <c r="P110" s="1"/>
      <c r="Q110" s="1"/>
      <c r="R110" s="161"/>
      <c r="S110" s="1"/>
      <c r="T110" s="1"/>
      <c r="U110" s="1"/>
      <c r="V110" s="1"/>
      <c r="W110" s="1"/>
      <c r="X110" s="1"/>
      <c r="Y110" s="1"/>
      <c r="Z110" s="1"/>
      <c r="AA110" s="1"/>
      <c r="AB110" s="1"/>
      <c r="AC110" s="1"/>
      <c r="AD110" s="1"/>
      <c r="AE110" s="1"/>
      <c r="AF110" s="1"/>
      <c r="AG110" s="1"/>
      <c r="AH110" s="1"/>
      <c r="AI110" s="1"/>
      <c r="AJ110" s="10"/>
      <c r="AK110" s="10"/>
      <c r="AL110" s="10"/>
      <c r="AM110" s="10"/>
      <c r="AN110" s="10"/>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row>
    <row r="111" ht="14.25" customHeight="1">
      <c r="A111" s="1"/>
      <c r="B111" s="1"/>
      <c r="C111" s="1"/>
      <c r="D111" s="1"/>
      <c r="E111" s="1"/>
      <c r="F111" s="1"/>
      <c r="G111" s="1"/>
      <c r="H111" s="1"/>
      <c r="I111" s="1"/>
      <c r="J111" s="1"/>
      <c r="K111" s="1"/>
      <c r="L111" s="1"/>
      <c r="M111" s="1"/>
      <c r="N111" s="1"/>
      <c r="O111" s="1"/>
      <c r="P111" s="1"/>
      <c r="Q111" s="1"/>
      <c r="R111" s="161"/>
      <c r="S111" s="1"/>
      <c r="T111" s="1"/>
      <c r="U111" s="1"/>
      <c r="V111" s="1"/>
      <c r="W111" s="1"/>
      <c r="X111" s="1"/>
      <c r="Y111" s="1"/>
      <c r="Z111" s="1"/>
      <c r="AA111" s="1"/>
      <c r="AB111" s="1"/>
      <c r="AC111" s="1"/>
      <c r="AD111" s="1"/>
      <c r="AE111" s="1"/>
      <c r="AF111" s="1"/>
      <c r="AG111" s="1"/>
      <c r="AH111" s="1"/>
      <c r="AI111" s="1"/>
      <c r="AJ111" s="10"/>
      <c r="AK111" s="10"/>
      <c r="AL111" s="10"/>
      <c r="AM111" s="10"/>
      <c r="AN111" s="10"/>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row>
    <row r="112" ht="14.25" customHeight="1">
      <c r="A112" s="1"/>
      <c r="B112" s="1"/>
      <c r="C112" s="1"/>
      <c r="D112" s="1"/>
      <c r="E112" s="1"/>
      <c r="F112" s="1"/>
      <c r="G112" s="1"/>
      <c r="H112" s="1"/>
      <c r="I112" s="1"/>
      <c r="J112" s="1"/>
      <c r="K112" s="1"/>
      <c r="L112" s="1"/>
      <c r="M112" s="1"/>
      <c r="N112" s="1"/>
      <c r="O112" s="1"/>
      <c r="P112" s="1"/>
      <c r="Q112" s="1"/>
      <c r="R112" s="161"/>
      <c r="S112" s="1"/>
      <c r="T112" s="1"/>
      <c r="U112" s="1"/>
      <c r="V112" s="1"/>
      <c r="W112" s="1"/>
      <c r="X112" s="1"/>
      <c r="Y112" s="1"/>
      <c r="Z112" s="1"/>
      <c r="AA112" s="1"/>
      <c r="AB112" s="1"/>
      <c r="AC112" s="1"/>
      <c r="AD112" s="1"/>
      <c r="AE112" s="1"/>
      <c r="AF112" s="1"/>
      <c r="AG112" s="1"/>
      <c r="AH112" s="1"/>
      <c r="AI112" s="1"/>
      <c r="AJ112" s="10"/>
      <c r="AK112" s="10"/>
      <c r="AL112" s="10"/>
      <c r="AM112" s="10"/>
      <c r="AN112" s="10"/>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row>
    <row r="113" ht="14.25" customHeight="1">
      <c r="A113" s="1"/>
      <c r="B113" s="1"/>
      <c r="C113" s="1"/>
      <c r="D113" s="1"/>
      <c r="E113" s="1"/>
      <c r="F113" s="1"/>
      <c r="G113" s="1"/>
      <c r="H113" s="1"/>
      <c r="I113" s="1"/>
      <c r="J113" s="1"/>
      <c r="K113" s="1"/>
      <c r="L113" s="1"/>
      <c r="M113" s="1"/>
      <c r="N113" s="1"/>
      <c r="O113" s="1"/>
      <c r="P113" s="1"/>
      <c r="Q113" s="1"/>
      <c r="R113" s="161"/>
      <c r="S113" s="1"/>
      <c r="T113" s="1"/>
      <c r="U113" s="1"/>
      <c r="V113" s="1"/>
      <c r="W113" s="1"/>
      <c r="X113" s="1"/>
      <c r="Y113" s="1"/>
      <c r="Z113" s="1"/>
      <c r="AA113" s="1"/>
      <c r="AB113" s="1"/>
      <c r="AC113" s="1"/>
      <c r="AD113" s="1"/>
      <c r="AE113" s="1"/>
      <c r="AF113" s="1"/>
      <c r="AG113" s="1"/>
      <c r="AH113" s="1"/>
      <c r="AI113" s="1"/>
      <c r="AJ113" s="10"/>
      <c r="AK113" s="10"/>
      <c r="AL113" s="10"/>
      <c r="AM113" s="10"/>
      <c r="AN113" s="10"/>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row>
    <row r="114" ht="14.25" customHeight="1">
      <c r="A114" s="1"/>
      <c r="B114" s="1"/>
      <c r="C114" s="1"/>
      <c r="D114" s="1"/>
      <c r="E114" s="1"/>
      <c r="F114" s="1"/>
      <c r="G114" s="1"/>
      <c r="H114" s="1"/>
      <c r="I114" s="1"/>
      <c r="J114" s="1"/>
      <c r="K114" s="1"/>
      <c r="L114" s="1"/>
      <c r="M114" s="1"/>
      <c r="N114" s="1"/>
      <c r="O114" s="1"/>
      <c r="P114" s="1"/>
      <c r="Q114" s="1"/>
      <c r="R114" s="161"/>
      <c r="S114" s="1"/>
      <c r="T114" s="1"/>
      <c r="U114" s="1"/>
      <c r="V114" s="1"/>
      <c r="W114" s="1"/>
      <c r="X114" s="1"/>
      <c r="Y114" s="1"/>
      <c r="Z114" s="1"/>
      <c r="AA114" s="1"/>
      <c r="AB114" s="1"/>
      <c r="AC114" s="1"/>
      <c r="AD114" s="1"/>
      <c r="AE114" s="1"/>
      <c r="AF114" s="1"/>
      <c r="AG114" s="1"/>
      <c r="AH114" s="1"/>
      <c r="AI114" s="1"/>
      <c r="AJ114" s="10"/>
      <c r="AK114" s="10"/>
      <c r="AL114" s="10"/>
      <c r="AM114" s="10"/>
      <c r="AN114" s="10"/>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row>
    <row r="115" ht="14.25" customHeight="1">
      <c r="A115" s="1"/>
      <c r="B115" s="1"/>
      <c r="C115" s="1"/>
      <c r="D115" s="1"/>
      <c r="E115" s="1"/>
      <c r="F115" s="1"/>
      <c r="G115" s="1"/>
      <c r="H115" s="1"/>
      <c r="I115" s="1"/>
      <c r="J115" s="1"/>
      <c r="K115" s="1"/>
      <c r="L115" s="1"/>
      <c r="M115" s="1"/>
      <c r="N115" s="1"/>
      <c r="O115" s="1"/>
      <c r="P115" s="1"/>
      <c r="Q115" s="1"/>
      <c r="R115" s="161"/>
      <c r="S115" s="1"/>
      <c r="T115" s="1"/>
      <c r="U115" s="1"/>
      <c r="V115" s="1"/>
      <c r="W115" s="1"/>
      <c r="X115" s="1"/>
      <c r="Y115" s="1"/>
      <c r="Z115" s="1"/>
      <c r="AA115" s="1"/>
      <c r="AB115" s="1"/>
      <c r="AC115" s="1"/>
      <c r="AD115" s="1"/>
      <c r="AE115" s="1"/>
      <c r="AF115" s="1"/>
      <c r="AG115" s="1"/>
      <c r="AH115" s="1"/>
      <c r="AI115" s="1"/>
      <c r="AJ115" s="10"/>
      <c r="AK115" s="10"/>
      <c r="AL115" s="10"/>
      <c r="AM115" s="10"/>
      <c r="AN115" s="10"/>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row>
    <row r="116" ht="14.25" customHeight="1">
      <c r="A116" s="1"/>
      <c r="B116" s="1"/>
      <c r="C116" s="1"/>
      <c r="D116" s="1"/>
      <c r="E116" s="1"/>
      <c r="F116" s="1"/>
      <c r="G116" s="1"/>
      <c r="H116" s="1"/>
      <c r="I116" s="1"/>
      <c r="J116" s="1"/>
      <c r="K116" s="1"/>
      <c r="L116" s="1"/>
      <c r="M116" s="1"/>
      <c r="N116" s="1"/>
      <c r="O116" s="1"/>
      <c r="P116" s="1"/>
      <c r="Q116" s="1"/>
      <c r="R116" s="161"/>
      <c r="S116" s="1"/>
      <c r="T116" s="1"/>
      <c r="U116" s="1"/>
      <c r="V116" s="1"/>
      <c r="W116" s="1"/>
      <c r="X116" s="1"/>
      <c r="Y116" s="1"/>
      <c r="Z116" s="1"/>
      <c r="AA116" s="1"/>
      <c r="AB116" s="1"/>
      <c r="AC116" s="1"/>
      <c r="AD116" s="1"/>
      <c r="AE116" s="1"/>
      <c r="AF116" s="1"/>
      <c r="AG116" s="1"/>
      <c r="AH116" s="1"/>
      <c r="AI116" s="1"/>
      <c r="AJ116" s="10"/>
      <c r="AK116" s="10"/>
      <c r="AL116" s="10"/>
      <c r="AM116" s="10"/>
      <c r="AN116" s="10"/>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row>
    <row r="117" ht="14.25" customHeight="1">
      <c r="A117" s="1"/>
      <c r="B117" s="1"/>
      <c r="C117" s="1"/>
      <c r="D117" s="1"/>
      <c r="E117" s="1"/>
      <c r="F117" s="1"/>
      <c r="G117" s="1"/>
      <c r="H117" s="1"/>
      <c r="I117" s="1"/>
      <c r="J117" s="1"/>
      <c r="K117" s="1"/>
      <c r="L117" s="1"/>
      <c r="M117" s="1"/>
      <c r="N117" s="1"/>
      <c r="O117" s="1"/>
      <c r="P117" s="1"/>
      <c r="Q117" s="1"/>
      <c r="R117" s="161"/>
      <c r="S117" s="1"/>
      <c r="T117" s="1"/>
      <c r="U117" s="1"/>
      <c r="V117" s="1"/>
      <c r="W117" s="1"/>
      <c r="X117" s="1"/>
      <c r="Y117" s="1"/>
      <c r="Z117" s="1"/>
      <c r="AA117" s="1"/>
      <c r="AB117" s="1"/>
      <c r="AC117" s="1"/>
      <c r="AD117" s="1"/>
      <c r="AE117" s="1"/>
      <c r="AF117" s="1"/>
      <c r="AG117" s="1"/>
      <c r="AH117" s="1"/>
      <c r="AI117" s="1"/>
      <c r="AJ117" s="10"/>
      <c r="AK117" s="10"/>
      <c r="AL117" s="10"/>
      <c r="AM117" s="10"/>
      <c r="AN117" s="10"/>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row>
    <row r="118" ht="14.25" customHeight="1">
      <c r="A118" s="1"/>
      <c r="B118" s="1"/>
      <c r="C118" s="1"/>
      <c r="D118" s="1"/>
      <c r="E118" s="1"/>
      <c r="F118" s="1"/>
      <c r="G118" s="1"/>
      <c r="H118" s="1"/>
      <c r="I118" s="1"/>
      <c r="J118" s="1"/>
      <c r="K118" s="1"/>
      <c r="L118" s="1"/>
      <c r="M118" s="1"/>
      <c r="N118" s="1"/>
      <c r="O118" s="1"/>
      <c r="P118" s="1"/>
      <c r="Q118" s="1"/>
      <c r="R118" s="161"/>
      <c r="S118" s="1"/>
      <c r="T118" s="1"/>
      <c r="U118" s="1"/>
      <c r="V118" s="1"/>
      <c r="W118" s="1"/>
      <c r="X118" s="1"/>
      <c r="Y118" s="1"/>
      <c r="Z118" s="1"/>
      <c r="AA118" s="1"/>
      <c r="AB118" s="1"/>
      <c r="AC118" s="1"/>
      <c r="AD118" s="1"/>
      <c r="AE118" s="1"/>
      <c r="AF118" s="1"/>
      <c r="AG118" s="1"/>
      <c r="AH118" s="1"/>
      <c r="AI118" s="1"/>
      <c r="AJ118" s="10"/>
      <c r="AK118" s="10"/>
      <c r="AL118" s="10"/>
      <c r="AM118" s="10"/>
      <c r="AN118" s="10"/>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row>
    <row r="119" ht="14.25" customHeight="1">
      <c r="A119" s="1"/>
      <c r="B119" s="1"/>
      <c r="C119" s="1"/>
      <c r="D119" s="1"/>
      <c r="E119" s="1"/>
      <c r="F119" s="1"/>
      <c r="G119" s="1"/>
      <c r="H119" s="1"/>
      <c r="I119" s="1"/>
      <c r="J119" s="1"/>
      <c r="K119" s="1"/>
      <c r="L119" s="1"/>
      <c r="M119" s="1"/>
      <c r="N119" s="1"/>
      <c r="O119" s="1"/>
      <c r="P119" s="1"/>
      <c r="Q119" s="1"/>
      <c r="R119" s="161"/>
      <c r="S119" s="1"/>
      <c r="T119" s="1"/>
      <c r="U119" s="1"/>
      <c r="V119" s="1"/>
      <c r="W119" s="1"/>
      <c r="X119" s="1"/>
      <c r="Y119" s="1"/>
      <c r="Z119" s="1"/>
      <c r="AA119" s="1"/>
      <c r="AB119" s="1"/>
      <c r="AC119" s="1"/>
      <c r="AD119" s="1"/>
      <c r="AE119" s="1"/>
      <c r="AF119" s="1"/>
      <c r="AG119" s="1"/>
      <c r="AH119" s="1"/>
      <c r="AI119" s="1"/>
      <c r="AJ119" s="10"/>
      <c r="AK119" s="10"/>
      <c r="AL119" s="10"/>
      <c r="AM119" s="10"/>
      <c r="AN119" s="10"/>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ht="14.25" customHeight="1">
      <c r="A120" s="1"/>
      <c r="B120" s="1"/>
      <c r="C120" s="1"/>
      <c r="D120" s="1"/>
      <c r="E120" s="1"/>
      <c r="F120" s="1"/>
      <c r="G120" s="1"/>
      <c r="H120" s="1"/>
      <c r="I120" s="1"/>
      <c r="J120" s="1"/>
      <c r="K120" s="1"/>
      <c r="L120" s="1"/>
      <c r="M120" s="1"/>
      <c r="N120" s="1"/>
      <c r="O120" s="1"/>
      <c r="P120" s="1"/>
      <c r="Q120" s="1"/>
      <c r="R120" s="161"/>
      <c r="S120" s="1"/>
      <c r="T120" s="1"/>
      <c r="U120" s="1"/>
      <c r="V120" s="1"/>
      <c r="W120" s="1"/>
      <c r="X120" s="1"/>
      <c r="Y120" s="1"/>
      <c r="Z120" s="1"/>
      <c r="AA120" s="1"/>
      <c r="AB120" s="1"/>
      <c r="AC120" s="1"/>
      <c r="AD120" s="1"/>
      <c r="AE120" s="1"/>
      <c r="AF120" s="1"/>
      <c r="AG120" s="1"/>
      <c r="AH120" s="1"/>
      <c r="AI120" s="1"/>
      <c r="AJ120" s="10"/>
      <c r="AK120" s="10"/>
      <c r="AL120" s="10"/>
      <c r="AM120" s="10"/>
      <c r="AN120" s="10"/>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ht="14.25" customHeight="1">
      <c r="A121" s="1"/>
      <c r="B121" s="1"/>
      <c r="C121" s="1"/>
      <c r="D121" s="1"/>
      <c r="E121" s="1"/>
      <c r="F121" s="1"/>
      <c r="G121" s="1"/>
      <c r="H121" s="1"/>
      <c r="I121" s="1"/>
      <c r="J121" s="1"/>
      <c r="K121" s="1"/>
      <c r="L121" s="1"/>
      <c r="M121" s="1"/>
      <c r="N121" s="1"/>
      <c r="O121" s="1"/>
      <c r="P121" s="1"/>
      <c r="Q121" s="1"/>
      <c r="R121" s="161"/>
      <c r="S121" s="1"/>
      <c r="T121" s="1"/>
      <c r="U121" s="1"/>
      <c r="V121" s="1"/>
      <c r="W121" s="1"/>
      <c r="X121" s="1"/>
      <c r="Y121" s="1"/>
      <c r="Z121" s="1"/>
      <c r="AA121" s="1"/>
      <c r="AB121" s="1"/>
      <c r="AC121" s="1"/>
      <c r="AD121" s="1"/>
      <c r="AE121" s="1"/>
      <c r="AF121" s="1"/>
      <c r="AG121" s="1"/>
      <c r="AH121" s="1"/>
      <c r="AI121" s="1"/>
      <c r="AJ121" s="10"/>
      <c r="AK121" s="10"/>
      <c r="AL121" s="10"/>
      <c r="AM121" s="10"/>
      <c r="AN121" s="10"/>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ht="14.25" customHeight="1">
      <c r="A122" s="1"/>
      <c r="B122" s="1"/>
      <c r="C122" s="1"/>
      <c r="D122" s="1"/>
      <c r="E122" s="1"/>
      <c r="F122" s="1"/>
      <c r="G122" s="1"/>
      <c r="H122" s="1"/>
      <c r="I122" s="1"/>
      <c r="J122" s="1"/>
      <c r="K122" s="1"/>
      <c r="L122" s="1"/>
      <c r="M122" s="1"/>
      <c r="N122" s="1"/>
      <c r="O122" s="1"/>
      <c r="P122" s="1"/>
      <c r="Q122" s="1"/>
      <c r="R122" s="161"/>
      <c r="S122" s="1"/>
      <c r="T122" s="1"/>
      <c r="U122" s="1"/>
      <c r="V122" s="1"/>
      <c r="W122" s="1"/>
      <c r="X122" s="1"/>
      <c r="Y122" s="1"/>
      <c r="Z122" s="1"/>
      <c r="AA122" s="1"/>
      <c r="AB122" s="1"/>
      <c r="AC122" s="1"/>
      <c r="AD122" s="1"/>
      <c r="AE122" s="1"/>
      <c r="AF122" s="1"/>
      <c r="AG122" s="1"/>
      <c r="AH122" s="1"/>
      <c r="AI122" s="1"/>
      <c r="AJ122" s="10"/>
      <c r="AK122" s="10"/>
      <c r="AL122" s="10"/>
      <c r="AM122" s="10"/>
      <c r="AN122" s="10"/>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ht="14.25" customHeight="1">
      <c r="A123" s="1"/>
      <c r="B123" s="1"/>
      <c r="C123" s="1"/>
      <c r="D123" s="1"/>
      <c r="E123" s="1"/>
      <c r="F123" s="1"/>
      <c r="G123" s="1"/>
      <c r="H123" s="1"/>
      <c r="I123" s="1"/>
      <c r="J123" s="1"/>
      <c r="K123" s="1"/>
      <c r="L123" s="1"/>
      <c r="M123" s="1"/>
      <c r="N123" s="1"/>
      <c r="O123" s="1"/>
      <c r="P123" s="1"/>
      <c r="Q123" s="1"/>
      <c r="R123" s="161"/>
      <c r="S123" s="1"/>
      <c r="T123" s="1"/>
      <c r="U123" s="1"/>
      <c r="V123" s="1"/>
      <c r="W123" s="1"/>
      <c r="X123" s="1"/>
      <c r="Y123" s="1"/>
      <c r="Z123" s="1"/>
      <c r="AA123" s="1"/>
      <c r="AB123" s="1"/>
      <c r="AC123" s="1"/>
      <c r="AD123" s="1"/>
      <c r="AE123" s="1"/>
      <c r="AF123" s="1"/>
      <c r="AG123" s="1"/>
      <c r="AH123" s="1"/>
      <c r="AI123" s="1"/>
      <c r="AJ123" s="10"/>
      <c r="AK123" s="10"/>
      <c r="AL123" s="10"/>
      <c r="AM123" s="10"/>
      <c r="AN123" s="10"/>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ht="14.25" customHeight="1">
      <c r="A124" s="1"/>
      <c r="B124" s="1"/>
      <c r="C124" s="1"/>
      <c r="D124" s="1"/>
      <c r="E124" s="1"/>
      <c r="F124" s="1"/>
      <c r="G124" s="1"/>
      <c r="H124" s="1"/>
      <c r="I124" s="1"/>
      <c r="J124" s="1"/>
      <c r="K124" s="1"/>
      <c r="L124" s="1"/>
      <c r="M124" s="1"/>
      <c r="N124" s="1"/>
      <c r="O124" s="1"/>
      <c r="P124" s="1"/>
      <c r="Q124" s="1"/>
      <c r="R124" s="161"/>
      <c r="S124" s="1"/>
      <c r="T124" s="1"/>
      <c r="U124" s="1"/>
      <c r="V124" s="1"/>
      <c r="W124" s="1"/>
      <c r="X124" s="1"/>
      <c r="Y124" s="1"/>
      <c r="Z124" s="1"/>
      <c r="AA124" s="1"/>
      <c r="AB124" s="1"/>
      <c r="AC124" s="1"/>
      <c r="AD124" s="1"/>
      <c r="AE124" s="1"/>
      <c r="AF124" s="1"/>
      <c r="AG124" s="1"/>
      <c r="AH124" s="1"/>
      <c r="AI124" s="1"/>
      <c r="AJ124" s="10"/>
      <c r="AK124" s="10"/>
      <c r="AL124" s="10"/>
      <c r="AM124" s="10"/>
      <c r="AN124" s="10"/>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ht="14.25" customHeight="1">
      <c r="A125" s="1"/>
      <c r="B125" s="1"/>
      <c r="C125" s="1"/>
      <c r="D125" s="1"/>
      <c r="E125" s="1"/>
      <c r="F125" s="1"/>
      <c r="G125" s="1"/>
      <c r="H125" s="1"/>
      <c r="I125" s="1"/>
      <c r="J125" s="1"/>
      <c r="K125" s="1"/>
      <c r="L125" s="1"/>
      <c r="M125" s="1"/>
      <c r="N125" s="1"/>
      <c r="O125" s="1"/>
      <c r="P125" s="1"/>
      <c r="Q125" s="1"/>
      <c r="R125" s="161"/>
      <c r="S125" s="1"/>
      <c r="T125" s="1"/>
      <c r="U125" s="1"/>
      <c r="V125" s="1"/>
      <c r="W125" s="1"/>
      <c r="X125" s="1"/>
      <c r="Y125" s="1"/>
      <c r="Z125" s="1"/>
      <c r="AA125" s="1"/>
      <c r="AB125" s="1"/>
      <c r="AC125" s="1"/>
      <c r="AD125" s="1"/>
      <c r="AE125" s="1"/>
      <c r="AF125" s="1"/>
      <c r="AG125" s="1"/>
      <c r="AH125" s="1"/>
      <c r="AI125" s="1"/>
      <c r="AJ125" s="10"/>
      <c r="AK125" s="10"/>
      <c r="AL125" s="10"/>
      <c r="AM125" s="10"/>
      <c r="AN125" s="10"/>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ht="14.25" customHeight="1">
      <c r="A126" s="1"/>
      <c r="B126" s="1"/>
      <c r="C126" s="1"/>
      <c r="D126" s="1"/>
      <c r="E126" s="1"/>
      <c r="F126" s="1"/>
      <c r="G126" s="1"/>
      <c r="H126" s="1"/>
      <c r="I126" s="1"/>
      <c r="J126" s="1"/>
      <c r="K126" s="1"/>
      <c r="L126" s="1"/>
      <c r="M126" s="1"/>
      <c r="N126" s="1"/>
      <c r="O126" s="1"/>
      <c r="P126" s="1"/>
      <c r="Q126" s="1"/>
      <c r="R126" s="161"/>
      <c r="S126" s="1"/>
      <c r="T126" s="1"/>
      <c r="U126" s="1"/>
      <c r="V126" s="1"/>
      <c r="W126" s="1"/>
      <c r="X126" s="1"/>
      <c r="Y126" s="1"/>
      <c r="Z126" s="1"/>
      <c r="AA126" s="1"/>
      <c r="AB126" s="1"/>
      <c r="AC126" s="1"/>
      <c r="AD126" s="1"/>
      <c r="AE126" s="1"/>
      <c r="AF126" s="1"/>
      <c r="AG126" s="1"/>
      <c r="AH126" s="1"/>
      <c r="AI126" s="1"/>
      <c r="AJ126" s="10"/>
      <c r="AK126" s="10"/>
      <c r="AL126" s="10"/>
      <c r="AM126" s="10"/>
      <c r="AN126" s="10"/>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ht="14.25" customHeight="1">
      <c r="A127" s="1"/>
      <c r="B127" s="1"/>
      <c r="C127" s="1"/>
      <c r="D127" s="1"/>
      <c r="E127" s="1"/>
      <c r="F127" s="1"/>
      <c r="G127" s="1"/>
      <c r="H127" s="1"/>
      <c r="I127" s="1"/>
      <c r="J127" s="1"/>
      <c r="K127" s="1"/>
      <c r="L127" s="1"/>
      <c r="M127" s="1"/>
      <c r="N127" s="1"/>
      <c r="O127" s="1"/>
      <c r="P127" s="1"/>
      <c r="Q127" s="1"/>
      <c r="R127" s="161"/>
      <c r="S127" s="1"/>
      <c r="T127" s="1"/>
      <c r="U127" s="1"/>
      <c r="V127" s="1"/>
      <c r="W127" s="1"/>
      <c r="X127" s="1"/>
      <c r="Y127" s="1"/>
      <c r="Z127" s="1"/>
      <c r="AA127" s="1"/>
      <c r="AB127" s="1"/>
      <c r="AC127" s="1"/>
      <c r="AD127" s="1"/>
      <c r="AE127" s="1"/>
      <c r="AF127" s="1"/>
      <c r="AG127" s="1"/>
      <c r="AH127" s="1"/>
      <c r="AI127" s="1"/>
      <c r="AJ127" s="10"/>
      <c r="AK127" s="10"/>
      <c r="AL127" s="10"/>
      <c r="AM127" s="10"/>
      <c r="AN127" s="10"/>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ht="14.25" customHeight="1">
      <c r="A128" s="1"/>
      <c r="B128" s="1"/>
      <c r="C128" s="1"/>
      <c r="D128" s="1"/>
      <c r="E128" s="1"/>
      <c r="F128" s="1"/>
      <c r="G128" s="1"/>
      <c r="H128" s="1"/>
      <c r="I128" s="1"/>
      <c r="J128" s="1"/>
      <c r="K128" s="1"/>
      <c r="L128" s="1"/>
      <c r="M128" s="1"/>
      <c r="N128" s="1"/>
      <c r="O128" s="1"/>
      <c r="P128" s="1"/>
      <c r="Q128" s="1"/>
      <c r="R128" s="161"/>
      <c r="S128" s="1"/>
      <c r="T128" s="1"/>
      <c r="U128" s="1"/>
      <c r="V128" s="1"/>
      <c r="W128" s="1"/>
      <c r="X128" s="1"/>
      <c r="Y128" s="1"/>
      <c r="Z128" s="1"/>
      <c r="AA128" s="1"/>
      <c r="AB128" s="1"/>
      <c r="AC128" s="1"/>
      <c r="AD128" s="1"/>
      <c r="AE128" s="1"/>
      <c r="AF128" s="1"/>
      <c r="AG128" s="1"/>
      <c r="AH128" s="1"/>
      <c r="AI128" s="1"/>
      <c r="AJ128" s="10"/>
      <c r="AK128" s="10"/>
      <c r="AL128" s="10"/>
      <c r="AM128" s="10"/>
      <c r="AN128" s="10"/>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row>
    <row r="129" ht="14.25" customHeight="1">
      <c r="A129" s="1"/>
      <c r="B129" s="1"/>
      <c r="C129" s="1"/>
      <c r="D129" s="1"/>
      <c r="E129" s="1"/>
      <c r="F129" s="1"/>
      <c r="G129" s="1"/>
      <c r="H129" s="1"/>
      <c r="I129" s="1"/>
      <c r="J129" s="1"/>
      <c r="K129" s="1"/>
      <c r="L129" s="1"/>
      <c r="M129" s="1"/>
      <c r="N129" s="1"/>
      <c r="O129" s="1"/>
      <c r="P129" s="1"/>
      <c r="Q129" s="1"/>
      <c r="R129" s="161"/>
      <c r="S129" s="1"/>
      <c r="T129" s="1"/>
      <c r="U129" s="1"/>
      <c r="V129" s="1"/>
      <c r="W129" s="1"/>
      <c r="X129" s="1"/>
      <c r="Y129" s="1"/>
      <c r="Z129" s="1"/>
      <c r="AA129" s="1"/>
      <c r="AB129" s="1"/>
      <c r="AC129" s="1"/>
      <c r="AD129" s="1"/>
      <c r="AE129" s="1"/>
      <c r="AF129" s="1"/>
      <c r="AG129" s="1"/>
      <c r="AH129" s="1"/>
      <c r="AI129" s="1"/>
      <c r="AJ129" s="10"/>
      <c r="AK129" s="10"/>
      <c r="AL129" s="10"/>
      <c r="AM129" s="10"/>
      <c r="AN129" s="10"/>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row>
    <row r="130" ht="14.25" customHeight="1">
      <c r="A130" s="1"/>
      <c r="B130" s="1"/>
      <c r="C130" s="1"/>
      <c r="D130" s="1"/>
      <c r="E130" s="1"/>
      <c r="F130" s="1"/>
      <c r="G130" s="1"/>
      <c r="H130" s="1"/>
      <c r="I130" s="1"/>
      <c r="J130" s="1"/>
      <c r="K130" s="1"/>
      <c r="L130" s="1"/>
      <c r="M130" s="1"/>
      <c r="N130" s="1"/>
      <c r="O130" s="1"/>
      <c r="P130" s="1"/>
      <c r="Q130" s="1"/>
      <c r="R130" s="20"/>
      <c r="S130" s="1"/>
      <c r="T130" s="1"/>
      <c r="U130" s="1"/>
      <c r="V130" s="1"/>
      <c r="W130" s="1"/>
      <c r="X130" s="1"/>
      <c r="Y130" s="1"/>
      <c r="Z130" s="1"/>
      <c r="AA130" s="1"/>
      <c r="AB130" s="1"/>
      <c r="AC130" s="1"/>
      <c r="AD130" s="1"/>
      <c r="AE130" s="1"/>
      <c r="AF130" s="1"/>
      <c r="AG130" s="1"/>
      <c r="AH130" s="1"/>
      <c r="AI130" s="1"/>
      <c r="AJ130" s="10"/>
      <c r="AK130" s="10"/>
      <c r="AL130" s="10"/>
      <c r="AM130" s="10"/>
      <c r="AN130" s="10"/>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row>
    <row r="131" ht="14.25" customHeight="1">
      <c r="AJ131" s="679"/>
      <c r="AK131" s="679"/>
      <c r="AL131" s="679"/>
      <c r="AM131" s="679"/>
      <c r="AN131" s="679"/>
    </row>
    <row r="132" ht="14.25" customHeight="1">
      <c r="AJ132" s="679"/>
      <c r="AK132" s="679"/>
      <c r="AL132" s="679"/>
      <c r="AM132" s="679"/>
      <c r="AN132" s="679"/>
    </row>
    <row r="133" ht="14.25" customHeight="1">
      <c r="AJ133" s="679"/>
      <c r="AK133" s="679"/>
      <c r="AL133" s="679"/>
      <c r="AM133" s="679"/>
      <c r="AN133" s="679"/>
    </row>
    <row r="134" ht="14.25" customHeight="1">
      <c r="AJ134" s="679"/>
      <c r="AK134" s="679"/>
      <c r="AL134" s="679"/>
      <c r="AM134" s="679"/>
      <c r="AN134" s="679"/>
    </row>
    <row r="135" ht="14.25" customHeight="1">
      <c r="AJ135" s="679"/>
      <c r="AK135" s="679"/>
      <c r="AL135" s="679"/>
      <c r="AM135" s="679"/>
      <c r="AN135" s="679"/>
    </row>
    <row r="136" ht="14.25" customHeight="1">
      <c r="AJ136" s="679"/>
      <c r="AK136" s="679"/>
      <c r="AL136" s="679"/>
      <c r="AM136" s="679"/>
      <c r="AN136" s="679"/>
    </row>
    <row r="137" ht="14.25" customHeight="1">
      <c r="AJ137" s="679"/>
      <c r="AK137" s="679"/>
      <c r="AL137" s="679"/>
      <c r="AM137" s="679"/>
      <c r="AN137" s="679"/>
    </row>
    <row r="138" ht="14.25" customHeight="1">
      <c r="AJ138" s="679"/>
      <c r="AK138" s="679"/>
      <c r="AL138" s="679"/>
      <c r="AM138" s="679"/>
      <c r="AN138" s="679"/>
    </row>
    <row r="139" ht="14.25" customHeight="1">
      <c r="AJ139" s="679"/>
      <c r="AK139" s="679"/>
      <c r="AL139" s="679"/>
      <c r="AM139" s="679"/>
      <c r="AN139" s="679"/>
    </row>
    <row r="140" ht="14.25" customHeight="1">
      <c r="AJ140" s="679"/>
      <c r="AK140" s="679"/>
      <c r="AL140" s="679"/>
      <c r="AM140" s="679"/>
      <c r="AN140" s="679"/>
    </row>
    <row r="141" ht="14.25" customHeight="1">
      <c r="AJ141" s="679"/>
      <c r="AK141" s="679"/>
      <c r="AL141" s="679"/>
      <c r="AM141" s="679"/>
      <c r="AN141" s="679"/>
    </row>
    <row r="142" ht="14.25" customHeight="1">
      <c r="AJ142" s="679"/>
      <c r="AK142" s="679"/>
      <c r="AL142" s="679"/>
      <c r="AM142" s="679"/>
      <c r="AN142" s="679"/>
    </row>
    <row r="143" ht="14.25" customHeight="1">
      <c r="AJ143" s="679"/>
      <c r="AK143" s="679"/>
      <c r="AL143" s="679"/>
      <c r="AM143" s="679"/>
      <c r="AN143" s="679"/>
    </row>
    <row r="144" ht="14.25" customHeight="1">
      <c r="AJ144" s="679"/>
      <c r="AK144" s="679"/>
      <c r="AL144" s="679"/>
      <c r="AM144" s="679"/>
      <c r="AN144" s="679"/>
    </row>
    <row r="145" ht="14.25" customHeight="1">
      <c r="AJ145" s="679"/>
      <c r="AK145" s="679"/>
      <c r="AL145" s="679"/>
      <c r="AM145" s="679"/>
      <c r="AN145" s="679"/>
    </row>
    <row r="146" ht="14.25" customHeight="1">
      <c r="AJ146" s="679"/>
      <c r="AK146" s="679"/>
      <c r="AL146" s="679"/>
      <c r="AM146" s="679"/>
      <c r="AN146" s="679"/>
    </row>
    <row r="147" ht="14.25" customHeight="1">
      <c r="AJ147" s="679"/>
      <c r="AK147" s="679"/>
      <c r="AL147" s="679"/>
      <c r="AM147" s="679"/>
      <c r="AN147" s="679"/>
    </row>
    <row r="148" ht="14.25" customHeight="1">
      <c r="AJ148" s="679"/>
      <c r="AK148" s="679"/>
      <c r="AL148" s="679"/>
      <c r="AM148" s="679"/>
      <c r="AN148" s="679"/>
    </row>
    <row r="149" ht="14.25" customHeight="1">
      <c r="AJ149" s="679"/>
      <c r="AK149" s="679"/>
      <c r="AL149" s="679"/>
      <c r="AM149" s="679"/>
      <c r="AN149" s="679"/>
    </row>
    <row r="150" ht="14.25" customHeight="1">
      <c r="AJ150" s="679"/>
      <c r="AK150" s="679"/>
      <c r="AL150" s="679"/>
      <c r="AM150" s="679"/>
      <c r="AN150" s="679"/>
    </row>
    <row r="151" ht="14.25" customHeight="1">
      <c r="AJ151" s="679"/>
      <c r="AK151" s="679"/>
      <c r="AL151" s="679"/>
      <c r="AM151" s="679"/>
      <c r="AN151" s="679"/>
    </row>
    <row r="152" ht="14.25" customHeight="1">
      <c r="AJ152" s="679"/>
      <c r="AK152" s="679"/>
      <c r="AL152" s="679"/>
      <c r="AM152" s="679"/>
      <c r="AN152" s="679"/>
    </row>
    <row r="153" ht="14.25" customHeight="1">
      <c r="AJ153" s="679"/>
      <c r="AK153" s="679"/>
      <c r="AL153" s="679"/>
      <c r="AM153" s="679"/>
      <c r="AN153" s="679"/>
    </row>
    <row r="154" ht="14.25" customHeight="1">
      <c r="AJ154" s="679"/>
      <c r="AK154" s="679"/>
      <c r="AL154" s="679"/>
      <c r="AM154" s="679"/>
      <c r="AN154" s="679"/>
    </row>
    <row r="155" ht="14.25" customHeight="1">
      <c r="AJ155" s="679"/>
      <c r="AK155" s="679"/>
      <c r="AL155" s="679"/>
      <c r="AM155" s="679"/>
      <c r="AN155" s="679"/>
    </row>
    <row r="156" ht="14.25" customHeight="1">
      <c r="AJ156" s="679"/>
      <c r="AK156" s="679"/>
      <c r="AL156" s="679"/>
      <c r="AM156" s="679"/>
      <c r="AN156" s="679"/>
    </row>
    <row r="157" ht="14.25" customHeight="1">
      <c r="AJ157" s="679"/>
      <c r="AK157" s="679"/>
      <c r="AL157" s="679"/>
      <c r="AM157" s="679"/>
      <c r="AN157" s="679"/>
    </row>
    <row r="158" ht="14.25" customHeight="1">
      <c r="AJ158" s="679"/>
      <c r="AK158" s="679"/>
      <c r="AL158" s="679"/>
      <c r="AM158" s="679"/>
      <c r="AN158" s="679"/>
    </row>
    <row r="159" ht="14.25" customHeight="1">
      <c r="AJ159" s="679"/>
      <c r="AK159" s="679"/>
      <c r="AL159" s="679"/>
      <c r="AM159" s="679"/>
      <c r="AN159" s="679"/>
    </row>
    <row r="160" ht="14.25" customHeight="1">
      <c r="AJ160" s="679"/>
      <c r="AK160" s="679"/>
      <c r="AL160" s="679"/>
      <c r="AM160" s="679"/>
      <c r="AN160" s="679"/>
    </row>
    <row r="161" ht="14.25" customHeight="1">
      <c r="AJ161" s="679"/>
      <c r="AK161" s="679"/>
      <c r="AL161" s="679"/>
      <c r="AM161" s="679"/>
      <c r="AN161" s="679"/>
    </row>
    <row r="162" ht="14.25" customHeight="1">
      <c r="AJ162" s="679"/>
      <c r="AK162" s="679"/>
      <c r="AL162" s="679"/>
      <c r="AM162" s="679"/>
      <c r="AN162" s="679"/>
    </row>
    <row r="163" ht="14.25" customHeight="1">
      <c r="AJ163" s="679"/>
      <c r="AK163" s="679"/>
      <c r="AL163" s="679"/>
      <c r="AM163" s="679"/>
      <c r="AN163" s="679"/>
    </row>
    <row r="164" ht="14.25" customHeight="1">
      <c r="AJ164" s="679"/>
      <c r="AK164" s="679"/>
      <c r="AL164" s="679"/>
      <c r="AM164" s="679"/>
      <c r="AN164" s="679"/>
    </row>
    <row r="165" ht="14.25" customHeight="1">
      <c r="AJ165" s="679"/>
      <c r="AK165" s="679"/>
      <c r="AL165" s="679"/>
      <c r="AM165" s="679"/>
      <c r="AN165" s="679"/>
    </row>
    <row r="166" ht="14.25" customHeight="1">
      <c r="AJ166" s="679"/>
      <c r="AK166" s="679"/>
      <c r="AL166" s="679"/>
      <c r="AM166" s="679"/>
      <c r="AN166" s="679"/>
    </row>
    <row r="167" ht="14.25" customHeight="1">
      <c r="AJ167" s="679"/>
      <c r="AK167" s="679"/>
      <c r="AL167" s="679"/>
      <c r="AM167" s="679"/>
      <c r="AN167" s="679"/>
    </row>
    <row r="168" ht="14.25" customHeight="1">
      <c r="AJ168" s="679"/>
      <c r="AK168" s="679"/>
      <c r="AL168" s="679"/>
      <c r="AM168" s="679"/>
      <c r="AN168" s="679"/>
    </row>
    <row r="169" ht="14.25" customHeight="1">
      <c r="AJ169" s="679"/>
      <c r="AK169" s="679"/>
      <c r="AL169" s="679"/>
      <c r="AM169" s="679"/>
      <c r="AN169" s="679"/>
    </row>
    <row r="170" ht="14.25" customHeight="1">
      <c r="AJ170" s="679"/>
      <c r="AK170" s="679"/>
      <c r="AL170" s="679"/>
      <c r="AM170" s="679"/>
      <c r="AN170" s="679"/>
    </row>
    <row r="171" ht="14.25" customHeight="1">
      <c r="AJ171" s="679"/>
      <c r="AK171" s="679"/>
      <c r="AL171" s="679"/>
      <c r="AM171" s="679"/>
      <c r="AN171" s="679"/>
    </row>
    <row r="172" ht="14.25" customHeight="1">
      <c r="AJ172" s="679"/>
      <c r="AK172" s="679"/>
      <c r="AL172" s="679"/>
      <c r="AM172" s="679"/>
      <c r="AN172" s="679"/>
    </row>
    <row r="173" ht="14.25" customHeight="1">
      <c r="AJ173" s="679"/>
      <c r="AK173" s="679"/>
      <c r="AL173" s="679"/>
      <c r="AM173" s="679"/>
      <c r="AN173" s="679"/>
    </row>
    <row r="174" ht="14.25" customHeight="1">
      <c r="AJ174" s="679"/>
      <c r="AK174" s="679"/>
      <c r="AL174" s="679"/>
      <c r="AM174" s="679"/>
      <c r="AN174" s="679"/>
    </row>
    <row r="175" ht="14.25" customHeight="1">
      <c r="AJ175" s="679"/>
      <c r="AK175" s="679"/>
      <c r="AL175" s="679"/>
      <c r="AM175" s="679"/>
      <c r="AN175" s="679"/>
    </row>
    <row r="176" ht="14.25" customHeight="1">
      <c r="AJ176" s="679"/>
      <c r="AK176" s="679"/>
      <c r="AL176" s="679"/>
      <c r="AM176" s="679"/>
      <c r="AN176" s="679"/>
    </row>
    <row r="177" ht="14.25" customHeight="1">
      <c r="AJ177" s="679"/>
      <c r="AK177" s="679"/>
      <c r="AL177" s="679"/>
      <c r="AM177" s="679"/>
      <c r="AN177" s="679"/>
    </row>
    <row r="178" ht="14.25" customHeight="1">
      <c r="AJ178" s="679"/>
      <c r="AK178" s="679"/>
      <c r="AL178" s="679"/>
      <c r="AM178" s="679"/>
      <c r="AN178" s="679"/>
    </row>
    <row r="179" ht="14.25" customHeight="1">
      <c r="AJ179" s="679"/>
      <c r="AK179" s="679"/>
      <c r="AL179" s="679"/>
      <c r="AM179" s="679"/>
      <c r="AN179" s="679"/>
    </row>
    <row r="180" ht="14.25" customHeight="1">
      <c r="AJ180" s="679"/>
      <c r="AK180" s="679"/>
      <c r="AL180" s="679"/>
      <c r="AM180" s="679"/>
      <c r="AN180" s="679"/>
    </row>
    <row r="181" ht="14.25" customHeight="1">
      <c r="AJ181" s="679"/>
      <c r="AK181" s="679"/>
      <c r="AL181" s="679"/>
      <c r="AM181" s="679"/>
      <c r="AN181" s="679"/>
    </row>
    <row r="182" ht="14.25" customHeight="1">
      <c r="AJ182" s="679"/>
      <c r="AK182" s="679"/>
      <c r="AL182" s="679"/>
      <c r="AM182" s="679"/>
      <c r="AN182" s="679"/>
    </row>
    <row r="183" ht="14.25" customHeight="1">
      <c r="AJ183" s="679"/>
      <c r="AK183" s="679"/>
      <c r="AL183" s="679"/>
      <c r="AM183" s="679"/>
      <c r="AN183" s="679"/>
    </row>
    <row r="184" ht="14.25" customHeight="1">
      <c r="AJ184" s="679"/>
      <c r="AK184" s="679"/>
      <c r="AL184" s="679"/>
      <c r="AM184" s="679"/>
      <c r="AN184" s="679"/>
    </row>
    <row r="185" ht="14.25" customHeight="1">
      <c r="AJ185" s="679"/>
      <c r="AK185" s="679"/>
      <c r="AL185" s="679"/>
      <c r="AM185" s="679"/>
      <c r="AN185" s="679"/>
    </row>
    <row r="186" ht="14.25" customHeight="1">
      <c r="AJ186" s="679"/>
      <c r="AK186" s="679"/>
      <c r="AL186" s="679"/>
      <c r="AM186" s="679"/>
      <c r="AN186" s="679"/>
    </row>
    <row r="187" ht="14.25" customHeight="1">
      <c r="AJ187" s="679"/>
      <c r="AK187" s="679"/>
      <c r="AL187" s="679"/>
      <c r="AM187" s="679"/>
      <c r="AN187" s="679"/>
    </row>
    <row r="188" ht="14.25" customHeight="1">
      <c r="AJ188" s="679"/>
      <c r="AK188" s="679"/>
      <c r="AL188" s="679"/>
      <c r="AM188" s="679"/>
      <c r="AN188" s="679"/>
    </row>
    <row r="189" ht="14.25" customHeight="1">
      <c r="AJ189" s="679"/>
      <c r="AK189" s="679"/>
      <c r="AL189" s="679"/>
      <c r="AM189" s="679"/>
      <c r="AN189" s="679"/>
    </row>
    <row r="190" ht="14.25" customHeight="1">
      <c r="AJ190" s="679"/>
      <c r="AK190" s="679"/>
      <c r="AL190" s="679"/>
      <c r="AM190" s="679"/>
      <c r="AN190" s="679"/>
    </row>
    <row r="191" ht="14.25" customHeight="1">
      <c r="AJ191" s="679"/>
      <c r="AK191" s="679"/>
      <c r="AL191" s="679"/>
      <c r="AM191" s="679"/>
      <c r="AN191" s="679"/>
    </row>
    <row r="192" ht="14.25" customHeight="1">
      <c r="AJ192" s="679"/>
      <c r="AK192" s="679"/>
      <c r="AL192" s="679"/>
      <c r="AM192" s="679"/>
      <c r="AN192" s="679"/>
    </row>
    <row r="193" ht="14.25" customHeight="1">
      <c r="AJ193" s="679"/>
      <c r="AK193" s="679"/>
      <c r="AL193" s="679"/>
      <c r="AM193" s="679"/>
      <c r="AN193" s="679"/>
    </row>
    <row r="194" ht="14.25" customHeight="1">
      <c r="AJ194" s="679"/>
      <c r="AK194" s="679"/>
      <c r="AL194" s="679"/>
      <c r="AM194" s="679"/>
      <c r="AN194" s="679"/>
    </row>
    <row r="195" ht="14.25" customHeight="1">
      <c r="AJ195" s="679"/>
      <c r="AK195" s="679"/>
      <c r="AL195" s="679"/>
      <c r="AM195" s="679"/>
      <c r="AN195" s="679"/>
    </row>
    <row r="196" ht="14.25" customHeight="1">
      <c r="AJ196" s="679"/>
      <c r="AK196" s="679"/>
      <c r="AL196" s="679"/>
      <c r="AM196" s="679"/>
      <c r="AN196" s="679"/>
    </row>
    <row r="197" ht="14.25" customHeight="1">
      <c r="AJ197" s="679"/>
      <c r="AK197" s="679"/>
      <c r="AL197" s="679"/>
      <c r="AM197" s="679"/>
      <c r="AN197" s="679"/>
    </row>
    <row r="198" ht="14.25" customHeight="1">
      <c r="AJ198" s="679"/>
      <c r="AK198" s="679"/>
      <c r="AL198" s="679"/>
      <c r="AM198" s="679"/>
      <c r="AN198" s="679"/>
    </row>
    <row r="199" ht="14.25" customHeight="1">
      <c r="AJ199" s="679"/>
      <c r="AK199" s="679"/>
      <c r="AL199" s="679"/>
      <c r="AM199" s="679"/>
      <c r="AN199" s="679"/>
    </row>
    <row r="200" ht="14.25" customHeight="1">
      <c r="AJ200" s="679"/>
      <c r="AK200" s="679"/>
      <c r="AL200" s="679"/>
      <c r="AM200" s="679"/>
      <c r="AN200" s="679"/>
    </row>
    <row r="201" ht="14.25" customHeight="1">
      <c r="AJ201" s="679"/>
      <c r="AK201" s="679"/>
      <c r="AL201" s="679"/>
      <c r="AM201" s="679"/>
      <c r="AN201" s="679"/>
    </row>
    <row r="202" ht="14.25" customHeight="1">
      <c r="AJ202" s="679"/>
      <c r="AK202" s="679"/>
      <c r="AL202" s="679"/>
      <c r="AM202" s="679"/>
      <c r="AN202" s="679"/>
    </row>
    <row r="203" ht="14.25" customHeight="1">
      <c r="AJ203" s="679"/>
      <c r="AK203" s="679"/>
      <c r="AL203" s="679"/>
      <c r="AM203" s="679"/>
      <c r="AN203" s="679"/>
    </row>
    <row r="204" ht="14.25" customHeight="1">
      <c r="AJ204" s="679"/>
      <c r="AK204" s="679"/>
      <c r="AL204" s="679"/>
      <c r="AM204" s="679"/>
      <c r="AN204" s="679"/>
    </row>
    <row r="205" ht="14.25" customHeight="1">
      <c r="AJ205" s="679"/>
      <c r="AK205" s="679"/>
      <c r="AL205" s="679"/>
      <c r="AM205" s="679"/>
      <c r="AN205" s="679"/>
    </row>
    <row r="206" ht="14.25" customHeight="1">
      <c r="AJ206" s="679"/>
      <c r="AK206" s="679"/>
      <c r="AL206" s="679"/>
      <c r="AM206" s="679"/>
      <c r="AN206" s="679"/>
    </row>
    <row r="207" ht="14.25" customHeight="1">
      <c r="AJ207" s="679"/>
      <c r="AK207" s="679"/>
      <c r="AL207" s="679"/>
      <c r="AM207" s="679"/>
      <c r="AN207" s="679"/>
    </row>
    <row r="208" ht="14.25" customHeight="1">
      <c r="AJ208" s="679"/>
      <c r="AK208" s="679"/>
      <c r="AL208" s="679"/>
      <c r="AM208" s="679"/>
      <c r="AN208" s="679"/>
    </row>
    <row r="209" ht="14.25" customHeight="1">
      <c r="AJ209" s="679"/>
      <c r="AK209" s="679"/>
      <c r="AL209" s="679"/>
      <c r="AM209" s="679"/>
      <c r="AN209" s="679"/>
    </row>
    <row r="210" ht="14.25" customHeight="1">
      <c r="AJ210" s="679"/>
      <c r="AK210" s="679"/>
      <c r="AL210" s="679"/>
      <c r="AM210" s="679"/>
      <c r="AN210" s="679"/>
    </row>
    <row r="211" ht="14.25" customHeight="1">
      <c r="AJ211" s="679"/>
      <c r="AK211" s="679"/>
      <c r="AL211" s="679"/>
      <c r="AM211" s="679"/>
      <c r="AN211" s="679"/>
    </row>
    <row r="212" ht="14.25" customHeight="1">
      <c r="AJ212" s="679"/>
      <c r="AK212" s="679"/>
      <c r="AL212" s="679"/>
      <c r="AM212" s="679"/>
      <c r="AN212" s="679"/>
    </row>
    <row r="213" ht="14.25" customHeight="1">
      <c r="AJ213" s="679"/>
      <c r="AK213" s="679"/>
      <c r="AL213" s="679"/>
      <c r="AM213" s="679"/>
      <c r="AN213" s="679"/>
    </row>
    <row r="214" ht="14.25" customHeight="1">
      <c r="AJ214" s="679"/>
      <c r="AK214" s="679"/>
      <c r="AL214" s="679"/>
      <c r="AM214" s="679"/>
      <c r="AN214" s="679"/>
    </row>
    <row r="215" ht="14.25" customHeight="1">
      <c r="AJ215" s="679"/>
      <c r="AK215" s="679"/>
      <c r="AL215" s="679"/>
      <c r="AM215" s="679"/>
      <c r="AN215" s="679"/>
    </row>
    <row r="216" ht="14.25" customHeight="1">
      <c r="AJ216" s="679"/>
      <c r="AK216" s="679"/>
      <c r="AL216" s="679"/>
      <c r="AM216" s="679"/>
      <c r="AN216" s="679"/>
    </row>
    <row r="217" ht="14.25" customHeight="1">
      <c r="AJ217" s="679"/>
      <c r="AK217" s="679"/>
      <c r="AL217" s="679"/>
      <c r="AM217" s="679"/>
      <c r="AN217" s="679"/>
    </row>
    <row r="218" ht="14.25" customHeight="1">
      <c r="AJ218" s="679"/>
      <c r="AK218" s="679"/>
      <c r="AL218" s="679"/>
      <c r="AM218" s="679"/>
      <c r="AN218" s="679"/>
    </row>
    <row r="219" ht="14.25" customHeight="1">
      <c r="AJ219" s="679"/>
      <c r="AK219" s="679"/>
      <c r="AL219" s="679"/>
      <c r="AM219" s="679"/>
      <c r="AN219" s="679"/>
    </row>
    <row r="220" ht="14.25" customHeight="1">
      <c r="AJ220" s="679"/>
      <c r="AK220" s="679"/>
      <c r="AL220" s="679"/>
      <c r="AM220" s="679"/>
      <c r="AN220" s="679"/>
    </row>
    <row r="221" ht="14.25" customHeight="1">
      <c r="AJ221" s="679"/>
      <c r="AK221" s="679"/>
      <c r="AL221" s="679"/>
      <c r="AM221" s="679"/>
      <c r="AN221" s="679"/>
    </row>
    <row r="222" ht="14.25" customHeight="1">
      <c r="AJ222" s="679"/>
      <c r="AK222" s="679"/>
      <c r="AL222" s="679"/>
      <c r="AM222" s="679"/>
      <c r="AN222" s="679"/>
    </row>
    <row r="223" ht="14.25" customHeight="1">
      <c r="AJ223" s="679"/>
      <c r="AK223" s="679"/>
      <c r="AL223" s="679"/>
      <c r="AM223" s="679"/>
      <c r="AN223" s="679"/>
    </row>
    <row r="224" ht="14.25" customHeight="1">
      <c r="AJ224" s="679"/>
      <c r="AK224" s="679"/>
      <c r="AL224" s="679"/>
      <c r="AM224" s="679"/>
      <c r="AN224" s="679"/>
    </row>
    <row r="225" ht="14.25" customHeight="1">
      <c r="AJ225" s="679"/>
      <c r="AK225" s="679"/>
      <c r="AL225" s="679"/>
      <c r="AM225" s="679"/>
      <c r="AN225" s="679"/>
    </row>
    <row r="226" ht="14.25" customHeight="1">
      <c r="AJ226" s="679"/>
      <c r="AK226" s="679"/>
      <c r="AL226" s="679"/>
      <c r="AM226" s="679"/>
      <c r="AN226" s="679"/>
    </row>
    <row r="227" ht="14.25" customHeight="1">
      <c r="AJ227" s="679"/>
      <c r="AK227" s="679"/>
      <c r="AL227" s="679"/>
      <c r="AM227" s="679"/>
      <c r="AN227" s="679"/>
    </row>
    <row r="228" ht="14.25" customHeight="1">
      <c r="AJ228" s="679"/>
      <c r="AK228" s="679"/>
      <c r="AL228" s="679"/>
      <c r="AM228" s="679"/>
      <c r="AN228" s="679"/>
    </row>
    <row r="229" ht="14.25" customHeight="1">
      <c r="AJ229" s="679"/>
      <c r="AK229" s="679"/>
      <c r="AL229" s="679"/>
      <c r="AM229" s="679"/>
      <c r="AN229" s="679"/>
    </row>
    <row r="230" ht="14.25" customHeight="1">
      <c r="AJ230" s="679"/>
      <c r="AK230" s="679"/>
      <c r="AL230" s="679"/>
      <c r="AM230" s="679"/>
      <c r="AN230" s="679"/>
    </row>
    <row r="231" ht="14.25" customHeight="1">
      <c r="AJ231" s="679"/>
      <c r="AK231" s="679"/>
      <c r="AL231" s="679"/>
      <c r="AM231" s="679"/>
      <c r="AN231" s="679"/>
    </row>
    <row r="232" ht="14.25" customHeight="1">
      <c r="AJ232" s="679"/>
      <c r="AK232" s="679"/>
      <c r="AL232" s="679"/>
      <c r="AM232" s="679"/>
      <c r="AN232" s="679"/>
    </row>
    <row r="233" ht="14.25" customHeight="1">
      <c r="AJ233" s="679"/>
      <c r="AK233" s="679"/>
      <c r="AL233" s="679"/>
      <c r="AM233" s="679"/>
      <c r="AN233" s="679"/>
    </row>
    <row r="234" ht="14.25" customHeight="1">
      <c r="AJ234" s="679"/>
      <c r="AK234" s="679"/>
      <c r="AL234" s="679"/>
      <c r="AM234" s="679"/>
      <c r="AN234" s="679"/>
    </row>
    <row r="235" ht="14.25" customHeight="1">
      <c r="AJ235" s="679"/>
      <c r="AK235" s="679"/>
      <c r="AL235" s="679"/>
      <c r="AM235" s="679"/>
      <c r="AN235" s="679"/>
    </row>
    <row r="236" ht="14.25" customHeight="1">
      <c r="AJ236" s="679"/>
      <c r="AK236" s="679"/>
      <c r="AL236" s="679"/>
      <c r="AM236" s="679"/>
      <c r="AN236" s="679"/>
    </row>
    <row r="237" ht="14.25" customHeight="1">
      <c r="AJ237" s="679"/>
      <c r="AK237" s="679"/>
      <c r="AL237" s="679"/>
      <c r="AM237" s="679"/>
      <c r="AN237" s="679"/>
    </row>
    <row r="238" ht="14.25" customHeight="1">
      <c r="AJ238" s="679"/>
      <c r="AK238" s="679"/>
      <c r="AL238" s="679"/>
      <c r="AM238" s="679"/>
      <c r="AN238" s="679"/>
    </row>
    <row r="239" ht="14.25" customHeight="1">
      <c r="AJ239" s="679"/>
      <c r="AK239" s="679"/>
      <c r="AL239" s="679"/>
      <c r="AM239" s="679"/>
      <c r="AN239" s="679"/>
    </row>
    <row r="240" ht="14.25" customHeight="1">
      <c r="AJ240" s="679"/>
      <c r="AK240" s="679"/>
      <c r="AL240" s="679"/>
      <c r="AM240" s="679"/>
      <c r="AN240" s="679"/>
    </row>
    <row r="241" ht="14.25" customHeight="1">
      <c r="AJ241" s="679"/>
      <c r="AK241" s="679"/>
      <c r="AL241" s="679"/>
      <c r="AM241" s="679"/>
      <c r="AN241" s="679"/>
    </row>
    <row r="242" ht="14.25" customHeight="1">
      <c r="AJ242" s="679"/>
      <c r="AK242" s="679"/>
      <c r="AL242" s="679"/>
      <c r="AM242" s="679"/>
      <c r="AN242" s="679"/>
    </row>
    <row r="243" ht="14.25" customHeight="1">
      <c r="AJ243" s="679"/>
      <c r="AK243" s="679"/>
      <c r="AL243" s="679"/>
      <c r="AM243" s="679"/>
      <c r="AN243" s="679"/>
    </row>
    <row r="244" ht="14.25" customHeight="1">
      <c r="AJ244" s="679"/>
      <c r="AK244" s="679"/>
      <c r="AL244" s="679"/>
      <c r="AM244" s="679"/>
      <c r="AN244" s="679"/>
    </row>
    <row r="245" ht="14.25" customHeight="1">
      <c r="AJ245" s="679"/>
      <c r="AK245" s="679"/>
      <c r="AL245" s="679"/>
      <c r="AM245" s="679"/>
      <c r="AN245" s="679"/>
    </row>
    <row r="246" ht="14.25" customHeight="1">
      <c r="AJ246" s="679"/>
      <c r="AK246" s="679"/>
      <c r="AL246" s="679"/>
      <c r="AM246" s="679"/>
      <c r="AN246" s="679"/>
    </row>
    <row r="247" ht="14.25" customHeight="1">
      <c r="AJ247" s="679"/>
      <c r="AK247" s="679"/>
      <c r="AL247" s="679"/>
      <c r="AM247" s="679"/>
      <c r="AN247" s="679"/>
    </row>
    <row r="248" ht="14.25" customHeight="1">
      <c r="AJ248" s="679"/>
      <c r="AK248" s="679"/>
      <c r="AL248" s="679"/>
      <c r="AM248" s="679"/>
      <c r="AN248" s="679"/>
    </row>
    <row r="249" ht="14.25" customHeight="1">
      <c r="AJ249" s="679"/>
      <c r="AK249" s="679"/>
      <c r="AL249" s="679"/>
      <c r="AM249" s="679"/>
      <c r="AN249" s="679"/>
    </row>
    <row r="250" ht="14.25" customHeight="1">
      <c r="AJ250" s="679"/>
      <c r="AK250" s="679"/>
      <c r="AL250" s="679"/>
      <c r="AM250" s="679"/>
      <c r="AN250" s="679"/>
    </row>
    <row r="251" ht="14.25" customHeight="1">
      <c r="AJ251" s="679"/>
      <c r="AK251" s="679"/>
      <c r="AL251" s="679"/>
      <c r="AM251" s="679"/>
      <c r="AN251" s="679"/>
    </row>
    <row r="252" ht="14.25" customHeight="1">
      <c r="AJ252" s="679"/>
      <c r="AK252" s="679"/>
      <c r="AL252" s="679"/>
      <c r="AM252" s="679"/>
      <c r="AN252" s="679"/>
    </row>
    <row r="253" ht="14.25" customHeight="1">
      <c r="AJ253" s="679"/>
      <c r="AK253" s="679"/>
      <c r="AL253" s="679"/>
      <c r="AM253" s="679"/>
      <c r="AN253" s="679"/>
    </row>
    <row r="254" ht="14.25" customHeight="1">
      <c r="AJ254" s="679"/>
      <c r="AK254" s="679"/>
      <c r="AL254" s="679"/>
      <c r="AM254" s="679"/>
      <c r="AN254" s="679"/>
    </row>
    <row r="255" ht="14.25" customHeight="1">
      <c r="AJ255" s="679"/>
      <c r="AK255" s="679"/>
      <c r="AL255" s="679"/>
      <c r="AM255" s="679"/>
      <c r="AN255" s="679"/>
    </row>
    <row r="256" ht="14.25" customHeight="1">
      <c r="AJ256" s="679"/>
      <c r="AK256" s="679"/>
      <c r="AL256" s="679"/>
      <c r="AM256" s="679"/>
      <c r="AN256" s="679"/>
    </row>
    <row r="257" ht="14.25" customHeight="1">
      <c r="AJ257" s="679"/>
      <c r="AK257" s="679"/>
      <c r="AL257" s="679"/>
      <c r="AM257" s="679"/>
      <c r="AN257" s="679"/>
    </row>
    <row r="258" ht="14.25" customHeight="1">
      <c r="AJ258" s="679"/>
      <c r="AK258" s="679"/>
      <c r="AL258" s="679"/>
      <c r="AM258" s="679"/>
      <c r="AN258" s="679"/>
    </row>
    <row r="259" ht="14.25" customHeight="1">
      <c r="AJ259" s="679"/>
      <c r="AK259" s="679"/>
      <c r="AL259" s="679"/>
      <c r="AM259" s="679"/>
      <c r="AN259" s="679"/>
    </row>
    <row r="260" ht="14.25" customHeight="1">
      <c r="AJ260" s="679"/>
      <c r="AK260" s="679"/>
      <c r="AL260" s="679"/>
      <c r="AM260" s="679"/>
      <c r="AN260" s="679"/>
    </row>
    <row r="261" ht="14.25" customHeight="1">
      <c r="AJ261" s="679"/>
      <c r="AK261" s="679"/>
      <c r="AL261" s="679"/>
      <c r="AM261" s="679"/>
      <c r="AN261" s="679"/>
    </row>
    <row r="262" ht="14.25" customHeight="1">
      <c r="AJ262" s="679"/>
      <c r="AK262" s="679"/>
      <c r="AL262" s="679"/>
      <c r="AM262" s="679"/>
      <c r="AN262" s="679"/>
    </row>
    <row r="263" ht="14.25" customHeight="1">
      <c r="AJ263" s="679"/>
      <c r="AK263" s="679"/>
      <c r="AL263" s="679"/>
      <c r="AM263" s="679"/>
      <c r="AN263" s="679"/>
    </row>
    <row r="264" ht="14.25" customHeight="1">
      <c r="AJ264" s="679"/>
      <c r="AK264" s="679"/>
      <c r="AL264" s="679"/>
      <c r="AM264" s="679"/>
      <c r="AN264" s="679"/>
    </row>
    <row r="265" ht="14.25" customHeight="1">
      <c r="AJ265" s="679"/>
      <c r="AK265" s="679"/>
      <c r="AL265" s="679"/>
      <c r="AM265" s="679"/>
      <c r="AN265" s="679"/>
    </row>
    <row r="266" ht="14.25" customHeight="1">
      <c r="AJ266" s="679"/>
      <c r="AK266" s="679"/>
      <c r="AL266" s="679"/>
      <c r="AM266" s="679"/>
      <c r="AN266" s="679"/>
    </row>
    <row r="267" ht="14.25" customHeight="1">
      <c r="AJ267" s="679"/>
      <c r="AK267" s="679"/>
      <c r="AL267" s="679"/>
      <c r="AM267" s="679"/>
      <c r="AN267" s="679"/>
    </row>
    <row r="268" ht="14.25" customHeight="1">
      <c r="AJ268" s="679"/>
      <c r="AK268" s="679"/>
      <c r="AL268" s="679"/>
      <c r="AM268" s="679"/>
      <c r="AN268" s="679"/>
    </row>
    <row r="269" ht="14.25" customHeight="1">
      <c r="AJ269" s="679"/>
      <c r="AK269" s="679"/>
      <c r="AL269" s="679"/>
      <c r="AM269" s="679"/>
      <c r="AN269" s="679"/>
    </row>
    <row r="270" ht="14.25" customHeight="1">
      <c r="AJ270" s="679"/>
      <c r="AK270" s="679"/>
      <c r="AL270" s="679"/>
      <c r="AM270" s="679"/>
      <c r="AN270" s="679"/>
    </row>
    <row r="271" ht="14.25" customHeight="1">
      <c r="AJ271" s="679"/>
      <c r="AK271" s="679"/>
      <c r="AL271" s="679"/>
      <c r="AM271" s="679"/>
      <c r="AN271" s="679"/>
    </row>
    <row r="272" ht="14.25" customHeight="1">
      <c r="AJ272" s="679"/>
      <c r="AK272" s="679"/>
      <c r="AL272" s="679"/>
      <c r="AM272" s="679"/>
      <c r="AN272" s="679"/>
    </row>
    <row r="273" ht="14.25" customHeight="1">
      <c r="AJ273" s="679"/>
      <c r="AK273" s="679"/>
      <c r="AL273" s="679"/>
      <c r="AM273" s="679"/>
      <c r="AN273" s="679"/>
    </row>
    <row r="274" ht="14.25" customHeight="1">
      <c r="AJ274" s="679"/>
      <c r="AK274" s="679"/>
      <c r="AL274" s="679"/>
      <c r="AM274" s="679"/>
      <c r="AN274" s="679"/>
    </row>
    <row r="275" ht="14.25" customHeight="1">
      <c r="AJ275" s="679"/>
      <c r="AK275" s="679"/>
      <c r="AL275" s="679"/>
      <c r="AM275" s="679"/>
      <c r="AN275" s="679"/>
    </row>
    <row r="276" ht="14.25" customHeight="1">
      <c r="AJ276" s="679"/>
      <c r="AK276" s="679"/>
      <c r="AL276" s="679"/>
      <c r="AM276" s="679"/>
      <c r="AN276" s="679"/>
    </row>
    <row r="277" ht="14.25" customHeight="1">
      <c r="AJ277" s="679"/>
      <c r="AK277" s="679"/>
      <c r="AL277" s="679"/>
      <c r="AM277" s="679"/>
      <c r="AN277" s="679"/>
    </row>
    <row r="278" ht="14.25" customHeight="1">
      <c r="AJ278" s="679"/>
      <c r="AK278" s="679"/>
      <c r="AL278" s="679"/>
      <c r="AM278" s="679"/>
      <c r="AN278" s="679"/>
    </row>
    <row r="279" ht="14.25" customHeight="1">
      <c r="AJ279" s="679"/>
      <c r="AK279" s="679"/>
      <c r="AL279" s="679"/>
      <c r="AM279" s="679"/>
      <c r="AN279" s="679"/>
    </row>
    <row r="280" ht="14.25" customHeight="1">
      <c r="AJ280" s="679"/>
      <c r="AK280" s="679"/>
      <c r="AL280" s="679"/>
      <c r="AM280" s="679"/>
      <c r="AN280" s="679"/>
    </row>
    <row r="281" ht="14.25" customHeight="1">
      <c r="AJ281" s="679"/>
      <c r="AK281" s="679"/>
      <c r="AL281" s="679"/>
      <c r="AM281" s="679"/>
      <c r="AN281" s="679"/>
    </row>
    <row r="282" ht="14.25" customHeight="1">
      <c r="AJ282" s="679"/>
      <c r="AK282" s="679"/>
      <c r="AL282" s="679"/>
      <c r="AM282" s="679"/>
      <c r="AN282" s="679"/>
    </row>
    <row r="283" ht="14.25" customHeight="1">
      <c r="AJ283" s="679"/>
      <c r="AK283" s="679"/>
      <c r="AL283" s="679"/>
      <c r="AM283" s="679"/>
      <c r="AN283" s="679"/>
    </row>
    <row r="284" ht="14.25" customHeight="1">
      <c r="AJ284" s="679"/>
      <c r="AK284" s="679"/>
      <c r="AL284" s="679"/>
      <c r="AM284" s="679"/>
      <c r="AN284" s="679"/>
    </row>
    <row r="285" ht="14.25" customHeight="1">
      <c r="AJ285" s="679"/>
      <c r="AK285" s="679"/>
      <c r="AL285" s="679"/>
      <c r="AM285" s="679"/>
      <c r="AN285" s="679"/>
    </row>
    <row r="286" ht="14.25" customHeight="1">
      <c r="AJ286" s="679"/>
      <c r="AK286" s="679"/>
      <c r="AL286" s="679"/>
      <c r="AM286" s="679"/>
      <c r="AN286" s="679"/>
    </row>
    <row r="287" ht="14.25" customHeight="1">
      <c r="AJ287" s="679"/>
      <c r="AK287" s="679"/>
      <c r="AL287" s="679"/>
      <c r="AM287" s="679"/>
      <c r="AN287" s="679"/>
    </row>
    <row r="288" ht="14.25" customHeight="1">
      <c r="AJ288" s="679"/>
      <c r="AK288" s="679"/>
      <c r="AL288" s="679"/>
      <c r="AM288" s="679"/>
      <c r="AN288" s="679"/>
    </row>
    <row r="289" ht="14.25" customHeight="1">
      <c r="AJ289" s="679"/>
      <c r="AK289" s="679"/>
      <c r="AL289" s="679"/>
      <c r="AM289" s="679"/>
      <c r="AN289" s="679"/>
    </row>
    <row r="290" ht="14.25" customHeight="1">
      <c r="AJ290" s="679"/>
      <c r="AK290" s="679"/>
      <c r="AL290" s="679"/>
      <c r="AM290" s="679"/>
      <c r="AN290" s="679"/>
    </row>
    <row r="291" ht="14.25" customHeight="1">
      <c r="AJ291" s="679"/>
      <c r="AK291" s="679"/>
      <c r="AL291" s="679"/>
      <c r="AM291" s="679"/>
      <c r="AN291" s="679"/>
    </row>
    <row r="292" ht="14.25" customHeight="1">
      <c r="AJ292" s="679"/>
      <c r="AK292" s="679"/>
      <c r="AL292" s="679"/>
      <c r="AM292" s="679"/>
      <c r="AN292" s="679"/>
    </row>
    <row r="293" ht="14.25" customHeight="1">
      <c r="AJ293" s="679"/>
      <c r="AK293" s="679"/>
      <c r="AL293" s="679"/>
      <c r="AM293" s="679"/>
      <c r="AN293" s="679"/>
    </row>
    <row r="294" ht="14.25" customHeight="1">
      <c r="AJ294" s="679"/>
      <c r="AK294" s="679"/>
      <c r="AL294" s="679"/>
      <c r="AM294" s="679"/>
      <c r="AN294" s="679"/>
    </row>
    <row r="295" ht="14.25" customHeight="1">
      <c r="AJ295" s="679"/>
      <c r="AK295" s="679"/>
      <c r="AL295" s="679"/>
      <c r="AM295" s="679"/>
      <c r="AN295" s="679"/>
    </row>
    <row r="296" ht="14.25" customHeight="1">
      <c r="AJ296" s="679"/>
      <c r="AK296" s="679"/>
      <c r="AL296" s="679"/>
      <c r="AM296" s="679"/>
      <c r="AN296" s="679"/>
    </row>
    <row r="297" ht="14.25" customHeight="1">
      <c r="AJ297" s="679"/>
      <c r="AK297" s="679"/>
      <c r="AL297" s="679"/>
      <c r="AM297" s="679"/>
      <c r="AN297" s="679"/>
    </row>
    <row r="298" ht="14.25" customHeight="1">
      <c r="AJ298" s="679"/>
      <c r="AK298" s="679"/>
      <c r="AL298" s="679"/>
      <c r="AM298" s="679"/>
      <c r="AN298" s="679"/>
    </row>
    <row r="299" ht="14.25" customHeight="1">
      <c r="AJ299" s="679"/>
      <c r="AK299" s="679"/>
      <c r="AL299" s="679"/>
      <c r="AM299" s="679"/>
      <c r="AN299" s="679"/>
    </row>
    <row r="300" ht="14.25" customHeight="1">
      <c r="AJ300" s="679"/>
      <c r="AK300" s="679"/>
      <c r="AL300" s="679"/>
      <c r="AM300" s="679"/>
      <c r="AN300" s="679"/>
    </row>
    <row r="301" ht="14.25" customHeight="1">
      <c r="AJ301" s="679"/>
      <c r="AK301" s="679"/>
      <c r="AL301" s="679"/>
      <c r="AM301" s="679"/>
      <c r="AN301" s="679"/>
    </row>
    <row r="302" ht="14.25" customHeight="1">
      <c r="AJ302" s="679"/>
      <c r="AK302" s="679"/>
      <c r="AL302" s="679"/>
      <c r="AM302" s="679"/>
      <c r="AN302" s="679"/>
    </row>
    <row r="303" ht="14.25" customHeight="1">
      <c r="AJ303" s="679"/>
      <c r="AK303" s="679"/>
      <c r="AL303" s="679"/>
      <c r="AM303" s="679"/>
      <c r="AN303" s="679"/>
    </row>
    <row r="304" ht="14.25" customHeight="1">
      <c r="AJ304" s="679"/>
      <c r="AK304" s="679"/>
      <c r="AL304" s="679"/>
      <c r="AM304" s="679"/>
      <c r="AN304" s="679"/>
    </row>
    <row r="305" ht="14.25" customHeight="1">
      <c r="AJ305" s="679"/>
      <c r="AK305" s="679"/>
      <c r="AL305" s="679"/>
      <c r="AM305" s="679"/>
      <c r="AN305" s="679"/>
    </row>
    <row r="306" ht="14.25" customHeight="1">
      <c r="AJ306" s="679"/>
      <c r="AK306" s="679"/>
      <c r="AL306" s="679"/>
      <c r="AM306" s="679"/>
      <c r="AN306" s="679"/>
    </row>
    <row r="307" ht="14.25" customHeight="1">
      <c r="AJ307" s="679"/>
      <c r="AK307" s="679"/>
      <c r="AL307" s="679"/>
      <c r="AM307" s="679"/>
      <c r="AN307" s="679"/>
    </row>
    <row r="308" ht="14.25" customHeight="1">
      <c r="AJ308" s="679"/>
      <c r="AK308" s="679"/>
      <c r="AL308" s="679"/>
      <c r="AM308" s="679"/>
      <c r="AN308" s="679"/>
    </row>
    <row r="309" ht="14.25" customHeight="1">
      <c r="AJ309" s="679"/>
      <c r="AK309" s="679"/>
      <c r="AL309" s="679"/>
      <c r="AM309" s="679"/>
      <c r="AN309" s="679"/>
    </row>
    <row r="310" ht="14.25" customHeight="1">
      <c r="AJ310" s="679"/>
      <c r="AK310" s="679"/>
      <c r="AL310" s="679"/>
      <c r="AM310" s="679"/>
      <c r="AN310" s="679"/>
    </row>
    <row r="311" ht="14.25" customHeight="1">
      <c r="AJ311" s="679"/>
      <c r="AK311" s="679"/>
      <c r="AL311" s="679"/>
      <c r="AM311" s="679"/>
      <c r="AN311" s="679"/>
    </row>
    <row r="312" ht="14.25" customHeight="1">
      <c r="AJ312" s="679"/>
      <c r="AK312" s="679"/>
      <c r="AL312" s="679"/>
      <c r="AM312" s="679"/>
      <c r="AN312" s="679"/>
    </row>
    <row r="313" ht="14.25" customHeight="1">
      <c r="AJ313" s="679"/>
      <c r="AK313" s="679"/>
      <c r="AL313" s="679"/>
      <c r="AM313" s="679"/>
      <c r="AN313" s="679"/>
    </row>
    <row r="314" ht="14.25" customHeight="1">
      <c r="AJ314" s="679"/>
      <c r="AK314" s="679"/>
      <c r="AL314" s="679"/>
      <c r="AM314" s="679"/>
      <c r="AN314" s="679"/>
    </row>
    <row r="315" ht="14.25" customHeight="1">
      <c r="AJ315" s="679"/>
      <c r="AK315" s="679"/>
      <c r="AL315" s="679"/>
      <c r="AM315" s="679"/>
      <c r="AN315" s="679"/>
    </row>
    <row r="316" ht="14.25" customHeight="1">
      <c r="AJ316" s="679"/>
      <c r="AK316" s="679"/>
      <c r="AL316" s="679"/>
      <c r="AM316" s="679"/>
      <c r="AN316" s="679"/>
    </row>
    <row r="317" ht="14.25" customHeight="1">
      <c r="AJ317" s="679"/>
      <c r="AK317" s="679"/>
      <c r="AL317" s="679"/>
      <c r="AM317" s="679"/>
      <c r="AN317" s="679"/>
    </row>
    <row r="318" ht="14.25" customHeight="1">
      <c r="AJ318" s="679"/>
      <c r="AK318" s="679"/>
      <c r="AL318" s="679"/>
      <c r="AM318" s="679"/>
      <c r="AN318" s="679"/>
    </row>
    <row r="319" ht="14.25" customHeight="1">
      <c r="AJ319" s="679"/>
      <c r="AK319" s="679"/>
      <c r="AL319" s="679"/>
      <c r="AM319" s="679"/>
      <c r="AN319" s="679"/>
    </row>
    <row r="320" ht="14.25" customHeight="1">
      <c r="AJ320" s="679"/>
      <c r="AK320" s="679"/>
      <c r="AL320" s="679"/>
      <c r="AM320" s="679"/>
      <c r="AN320" s="679"/>
    </row>
    <row r="321" ht="14.25" customHeight="1">
      <c r="AJ321" s="679"/>
      <c r="AK321" s="679"/>
      <c r="AL321" s="679"/>
      <c r="AM321" s="679"/>
      <c r="AN321" s="679"/>
    </row>
    <row r="322" ht="14.25" customHeight="1">
      <c r="AJ322" s="679"/>
      <c r="AK322" s="679"/>
      <c r="AL322" s="679"/>
      <c r="AM322" s="679"/>
      <c r="AN322" s="679"/>
    </row>
    <row r="323" ht="14.25" customHeight="1">
      <c r="AJ323" s="679"/>
      <c r="AK323" s="679"/>
      <c r="AL323" s="679"/>
      <c r="AM323" s="679"/>
      <c r="AN323" s="679"/>
    </row>
    <row r="324" ht="14.25" customHeight="1">
      <c r="AJ324" s="679"/>
      <c r="AK324" s="679"/>
      <c r="AL324" s="679"/>
      <c r="AM324" s="679"/>
      <c r="AN324" s="679"/>
    </row>
    <row r="325" ht="14.25" customHeight="1">
      <c r="AJ325" s="679"/>
      <c r="AK325" s="679"/>
      <c r="AL325" s="679"/>
      <c r="AM325" s="679"/>
      <c r="AN325" s="679"/>
    </row>
    <row r="326" ht="14.25" customHeight="1">
      <c r="AJ326" s="679"/>
      <c r="AK326" s="679"/>
      <c r="AL326" s="679"/>
      <c r="AM326" s="679"/>
      <c r="AN326" s="679"/>
    </row>
    <row r="327" ht="14.25" customHeight="1">
      <c r="AJ327" s="679"/>
      <c r="AK327" s="679"/>
      <c r="AL327" s="679"/>
      <c r="AM327" s="679"/>
      <c r="AN327" s="679"/>
    </row>
    <row r="328" ht="14.25" customHeight="1">
      <c r="AJ328" s="679"/>
      <c r="AK328" s="679"/>
      <c r="AL328" s="679"/>
      <c r="AM328" s="679"/>
      <c r="AN328" s="679"/>
    </row>
    <row r="329" ht="14.25" customHeight="1">
      <c r="AJ329" s="679"/>
      <c r="AK329" s="679"/>
      <c r="AL329" s="679"/>
      <c r="AM329" s="679"/>
      <c r="AN329" s="679"/>
    </row>
    <row r="330" ht="14.25" customHeight="1">
      <c r="AJ330" s="679"/>
      <c r="AK330" s="679"/>
      <c r="AL330" s="679"/>
      <c r="AM330" s="679"/>
      <c r="AN330" s="679"/>
    </row>
    <row r="331" ht="14.25" customHeight="1">
      <c r="AJ331" s="679"/>
      <c r="AK331" s="679"/>
      <c r="AL331" s="679"/>
      <c r="AM331" s="679"/>
      <c r="AN331" s="679"/>
    </row>
    <row r="332" ht="14.25" customHeight="1">
      <c r="AJ332" s="679"/>
      <c r="AK332" s="679"/>
      <c r="AL332" s="679"/>
      <c r="AM332" s="679"/>
      <c r="AN332" s="679"/>
    </row>
    <row r="333" ht="14.25" customHeight="1">
      <c r="AJ333" s="679"/>
      <c r="AK333" s="679"/>
      <c r="AL333" s="679"/>
      <c r="AM333" s="679"/>
      <c r="AN333" s="679"/>
    </row>
    <row r="334" ht="14.25" customHeight="1">
      <c r="AJ334" s="679"/>
      <c r="AK334" s="679"/>
      <c r="AL334" s="679"/>
      <c r="AM334" s="679"/>
      <c r="AN334" s="679"/>
    </row>
    <row r="335" ht="14.25" customHeight="1">
      <c r="AJ335" s="679"/>
      <c r="AK335" s="679"/>
      <c r="AL335" s="679"/>
      <c r="AM335" s="679"/>
      <c r="AN335" s="679"/>
    </row>
    <row r="336" ht="14.25" customHeight="1">
      <c r="AJ336" s="679"/>
      <c r="AK336" s="679"/>
      <c r="AL336" s="679"/>
      <c r="AM336" s="679"/>
      <c r="AN336" s="679"/>
    </row>
    <row r="337" ht="14.25" customHeight="1">
      <c r="AJ337" s="679"/>
      <c r="AK337" s="679"/>
      <c r="AL337" s="679"/>
      <c r="AM337" s="679"/>
      <c r="AN337" s="679"/>
    </row>
    <row r="338" ht="14.25" customHeight="1">
      <c r="AJ338" s="679"/>
      <c r="AK338" s="679"/>
      <c r="AL338" s="679"/>
      <c r="AM338" s="679"/>
      <c r="AN338" s="679"/>
    </row>
    <row r="339" ht="14.25" customHeight="1">
      <c r="AJ339" s="679"/>
      <c r="AK339" s="679"/>
      <c r="AL339" s="679"/>
      <c r="AM339" s="679"/>
      <c r="AN339" s="679"/>
    </row>
    <row r="340" ht="14.25" customHeight="1">
      <c r="AJ340" s="679"/>
      <c r="AK340" s="679"/>
      <c r="AL340" s="679"/>
      <c r="AM340" s="679"/>
      <c r="AN340" s="679"/>
    </row>
    <row r="341" ht="14.25" customHeight="1">
      <c r="AJ341" s="679"/>
      <c r="AK341" s="679"/>
      <c r="AL341" s="679"/>
      <c r="AM341" s="679"/>
      <c r="AN341" s="679"/>
    </row>
    <row r="342" ht="14.25" customHeight="1">
      <c r="AJ342" s="679"/>
      <c r="AK342" s="679"/>
      <c r="AL342" s="679"/>
      <c r="AM342" s="679"/>
      <c r="AN342" s="679"/>
    </row>
    <row r="343" ht="14.25" customHeight="1">
      <c r="AJ343" s="679"/>
      <c r="AK343" s="679"/>
      <c r="AL343" s="679"/>
      <c r="AM343" s="679"/>
      <c r="AN343" s="679"/>
    </row>
    <row r="344" ht="14.25" customHeight="1">
      <c r="AJ344" s="679"/>
      <c r="AK344" s="679"/>
      <c r="AL344" s="679"/>
      <c r="AM344" s="679"/>
      <c r="AN344" s="679"/>
    </row>
    <row r="345" ht="14.25" customHeight="1">
      <c r="AJ345" s="679"/>
      <c r="AK345" s="679"/>
      <c r="AL345" s="679"/>
      <c r="AM345" s="679"/>
      <c r="AN345" s="679"/>
    </row>
    <row r="346" ht="14.25" customHeight="1">
      <c r="AJ346" s="679"/>
      <c r="AK346" s="679"/>
      <c r="AL346" s="679"/>
      <c r="AM346" s="679"/>
      <c r="AN346" s="679"/>
    </row>
    <row r="347" ht="14.25" customHeight="1">
      <c r="AJ347" s="679"/>
      <c r="AK347" s="679"/>
      <c r="AL347" s="679"/>
      <c r="AM347" s="679"/>
      <c r="AN347" s="679"/>
    </row>
    <row r="348" ht="14.25" customHeight="1">
      <c r="AJ348" s="679"/>
      <c r="AK348" s="679"/>
      <c r="AL348" s="679"/>
      <c r="AM348" s="679"/>
      <c r="AN348" s="679"/>
    </row>
    <row r="349" ht="14.25" customHeight="1">
      <c r="AJ349" s="679"/>
      <c r="AK349" s="679"/>
      <c r="AL349" s="679"/>
      <c r="AM349" s="679"/>
      <c r="AN349" s="679"/>
    </row>
    <row r="350" ht="14.25" customHeight="1">
      <c r="AJ350" s="679"/>
      <c r="AK350" s="679"/>
      <c r="AL350" s="679"/>
      <c r="AM350" s="679"/>
      <c r="AN350" s="679"/>
    </row>
    <row r="351" ht="14.25" customHeight="1">
      <c r="AJ351" s="679"/>
      <c r="AK351" s="679"/>
      <c r="AL351" s="679"/>
      <c r="AM351" s="679"/>
      <c r="AN351" s="679"/>
    </row>
    <row r="352" ht="14.25" customHeight="1">
      <c r="AJ352" s="679"/>
      <c r="AK352" s="679"/>
      <c r="AL352" s="679"/>
      <c r="AM352" s="679"/>
      <c r="AN352" s="679"/>
    </row>
    <row r="353" ht="14.25" customHeight="1">
      <c r="AJ353" s="679"/>
      <c r="AK353" s="679"/>
      <c r="AL353" s="679"/>
      <c r="AM353" s="679"/>
      <c r="AN353" s="679"/>
    </row>
    <row r="354" ht="14.25" customHeight="1">
      <c r="AJ354" s="679"/>
      <c r="AK354" s="679"/>
      <c r="AL354" s="679"/>
      <c r="AM354" s="679"/>
      <c r="AN354" s="679"/>
    </row>
    <row r="355" ht="14.25" customHeight="1">
      <c r="AJ355" s="679"/>
      <c r="AK355" s="679"/>
      <c r="AL355" s="679"/>
      <c r="AM355" s="679"/>
      <c r="AN355" s="679"/>
    </row>
    <row r="356" ht="14.25" customHeight="1">
      <c r="AJ356" s="679"/>
      <c r="AK356" s="679"/>
      <c r="AL356" s="679"/>
      <c r="AM356" s="679"/>
      <c r="AN356" s="679"/>
    </row>
    <row r="357" ht="14.25" customHeight="1">
      <c r="AJ357" s="679"/>
      <c r="AK357" s="679"/>
      <c r="AL357" s="679"/>
      <c r="AM357" s="679"/>
      <c r="AN357" s="679"/>
    </row>
    <row r="358" ht="14.25" customHeight="1">
      <c r="AJ358" s="679"/>
      <c r="AK358" s="679"/>
      <c r="AL358" s="679"/>
      <c r="AM358" s="679"/>
      <c r="AN358" s="679"/>
    </row>
    <row r="359" ht="14.25" customHeight="1">
      <c r="AJ359" s="679"/>
      <c r="AK359" s="679"/>
      <c r="AL359" s="679"/>
      <c r="AM359" s="679"/>
      <c r="AN359" s="679"/>
    </row>
    <row r="360" ht="14.25" customHeight="1">
      <c r="AJ360" s="679"/>
      <c r="AK360" s="679"/>
      <c r="AL360" s="679"/>
      <c r="AM360" s="679"/>
      <c r="AN360" s="679"/>
    </row>
    <row r="361" ht="14.25" customHeight="1">
      <c r="AJ361" s="679"/>
      <c r="AK361" s="679"/>
      <c r="AL361" s="679"/>
      <c r="AM361" s="679"/>
      <c r="AN361" s="679"/>
    </row>
    <row r="362" ht="14.25" customHeight="1">
      <c r="AJ362" s="679"/>
      <c r="AK362" s="679"/>
      <c r="AL362" s="679"/>
      <c r="AM362" s="679"/>
      <c r="AN362" s="679"/>
    </row>
    <row r="363" ht="14.25" customHeight="1">
      <c r="AJ363" s="679"/>
      <c r="AK363" s="679"/>
      <c r="AL363" s="679"/>
      <c r="AM363" s="679"/>
      <c r="AN363" s="679"/>
    </row>
    <row r="364" ht="14.25" customHeight="1">
      <c r="AJ364" s="679"/>
      <c r="AK364" s="679"/>
      <c r="AL364" s="679"/>
      <c r="AM364" s="679"/>
      <c r="AN364" s="679"/>
    </row>
    <row r="365" ht="14.25" customHeight="1">
      <c r="AJ365" s="679"/>
      <c r="AK365" s="679"/>
      <c r="AL365" s="679"/>
      <c r="AM365" s="679"/>
      <c r="AN365" s="679"/>
    </row>
    <row r="366" ht="14.25" customHeight="1">
      <c r="AJ366" s="679"/>
      <c r="AK366" s="679"/>
      <c r="AL366" s="679"/>
      <c r="AM366" s="679"/>
      <c r="AN366" s="679"/>
    </row>
    <row r="367" ht="14.25" customHeight="1">
      <c r="AJ367" s="679"/>
      <c r="AK367" s="679"/>
      <c r="AL367" s="679"/>
      <c r="AM367" s="679"/>
      <c r="AN367" s="679"/>
    </row>
    <row r="368" ht="14.25" customHeight="1">
      <c r="AJ368" s="679"/>
      <c r="AK368" s="679"/>
      <c r="AL368" s="679"/>
      <c r="AM368" s="679"/>
      <c r="AN368" s="679"/>
    </row>
    <row r="369" ht="14.25" customHeight="1">
      <c r="AJ369" s="679"/>
      <c r="AK369" s="679"/>
      <c r="AL369" s="679"/>
      <c r="AM369" s="679"/>
      <c r="AN369" s="679"/>
    </row>
    <row r="370" ht="14.25" customHeight="1">
      <c r="AJ370" s="679"/>
      <c r="AK370" s="679"/>
      <c r="AL370" s="679"/>
      <c r="AM370" s="679"/>
      <c r="AN370" s="679"/>
    </row>
    <row r="371" ht="14.25" customHeight="1">
      <c r="AJ371" s="679"/>
      <c r="AK371" s="679"/>
      <c r="AL371" s="679"/>
      <c r="AM371" s="679"/>
      <c r="AN371" s="679"/>
    </row>
    <row r="372" ht="14.25" customHeight="1">
      <c r="AJ372" s="679"/>
      <c r="AK372" s="679"/>
      <c r="AL372" s="679"/>
      <c r="AM372" s="679"/>
      <c r="AN372" s="679"/>
    </row>
    <row r="373" ht="14.25" customHeight="1">
      <c r="AJ373" s="679"/>
      <c r="AK373" s="679"/>
      <c r="AL373" s="679"/>
      <c r="AM373" s="679"/>
      <c r="AN373" s="679"/>
    </row>
    <row r="374" ht="14.25" customHeight="1">
      <c r="AJ374" s="679"/>
      <c r="AK374" s="679"/>
      <c r="AL374" s="679"/>
      <c r="AM374" s="679"/>
      <c r="AN374" s="679"/>
    </row>
    <row r="375" ht="14.25" customHeight="1">
      <c r="AJ375" s="679"/>
      <c r="AK375" s="679"/>
      <c r="AL375" s="679"/>
      <c r="AM375" s="679"/>
      <c r="AN375" s="679"/>
    </row>
    <row r="376" ht="14.25" customHeight="1">
      <c r="AJ376" s="679"/>
      <c r="AK376" s="679"/>
      <c r="AL376" s="679"/>
      <c r="AM376" s="679"/>
      <c r="AN376" s="679"/>
    </row>
    <row r="377" ht="14.25" customHeight="1">
      <c r="AJ377" s="679"/>
      <c r="AK377" s="679"/>
      <c r="AL377" s="679"/>
      <c r="AM377" s="679"/>
      <c r="AN377" s="679"/>
    </row>
    <row r="378" ht="14.25" customHeight="1">
      <c r="AJ378" s="679"/>
      <c r="AK378" s="679"/>
      <c r="AL378" s="679"/>
      <c r="AM378" s="679"/>
      <c r="AN378" s="679"/>
    </row>
    <row r="379" ht="14.25" customHeight="1">
      <c r="AJ379" s="679"/>
      <c r="AK379" s="679"/>
      <c r="AL379" s="679"/>
      <c r="AM379" s="679"/>
      <c r="AN379" s="679"/>
    </row>
    <row r="380" ht="14.25" customHeight="1">
      <c r="AJ380" s="679"/>
      <c r="AK380" s="679"/>
      <c r="AL380" s="679"/>
      <c r="AM380" s="679"/>
      <c r="AN380" s="679"/>
    </row>
    <row r="381" ht="14.25" customHeight="1">
      <c r="AJ381" s="679"/>
      <c r="AK381" s="679"/>
      <c r="AL381" s="679"/>
      <c r="AM381" s="679"/>
      <c r="AN381" s="679"/>
    </row>
    <row r="382" ht="14.25" customHeight="1">
      <c r="AJ382" s="679"/>
      <c r="AK382" s="679"/>
      <c r="AL382" s="679"/>
      <c r="AM382" s="679"/>
      <c r="AN382" s="679"/>
    </row>
    <row r="383" ht="14.25" customHeight="1">
      <c r="AJ383" s="679"/>
      <c r="AK383" s="679"/>
      <c r="AL383" s="679"/>
      <c r="AM383" s="679"/>
      <c r="AN383" s="679"/>
    </row>
    <row r="384" ht="14.25" customHeight="1">
      <c r="AJ384" s="679"/>
      <c r="AK384" s="679"/>
      <c r="AL384" s="679"/>
      <c r="AM384" s="679"/>
      <c r="AN384" s="679"/>
    </row>
    <row r="385" ht="14.25" customHeight="1">
      <c r="AJ385" s="679"/>
      <c r="AK385" s="679"/>
      <c r="AL385" s="679"/>
      <c r="AM385" s="679"/>
      <c r="AN385" s="679"/>
    </row>
    <row r="386" ht="14.25" customHeight="1">
      <c r="AJ386" s="679"/>
      <c r="AK386" s="679"/>
      <c r="AL386" s="679"/>
      <c r="AM386" s="679"/>
      <c r="AN386" s="679"/>
    </row>
    <row r="387" ht="14.25" customHeight="1">
      <c r="AJ387" s="679"/>
      <c r="AK387" s="679"/>
      <c r="AL387" s="679"/>
      <c r="AM387" s="679"/>
      <c r="AN387" s="679"/>
    </row>
    <row r="388" ht="14.25" customHeight="1">
      <c r="AJ388" s="679"/>
      <c r="AK388" s="679"/>
      <c r="AL388" s="679"/>
      <c r="AM388" s="679"/>
      <c r="AN388" s="679"/>
    </row>
    <row r="389" ht="14.25" customHeight="1">
      <c r="AJ389" s="679"/>
      <c r="AK389" s="679"/>
      <c r="AL389" s="679"/>
      <c r="AM389" s="679"/>
      <c r="AN389" s="679"/>
    </row>
    <row r="390" ht="14.25" customHeight="1">
      <c r="AJ390" s="679"/>
      <c r="AK390" s="679"/>
      <c r="AL390" s="679"/>
      <c r="AM390" s="679"/>
      <c r="AN390" s="679"/>
    </row>
    <row r="391" ht="14.25" customHeight="1">
      <c r="AJ391" s="679"/>
      <c r="AK391" s="679"/>
      <c r="AL391" s="679"/>
      <c r="AM391" s="679"/>
      <c r="AN391" s="679"/>
    </row>
    <row r="392" ht="14.25" customHeight="1">
      <c r="AJ392" s="679"/>
      <c r="AK392" s="679"/>
      <c r="AL392" s="679"/>
      <c r="AM392" s="679"/>
      <c r="AN392" s="679"/>
    </row>
    <row r="393" ht="14.25" customHeight="1">
      <c r="AJ393" s="679"/>
      <c r="AK393" s="679"/>
      <c r="AL393" s="679"/>
      <c r="AM393" s="679"/>
      <c r="AN393" s="679"/>
    </row>
    <row r="394" ht="14.25" customHeight="1">
      <c r="AJ394" s="679"/>
      <c r="AK394" s="679"/>
      <c r="AL394" s="679"/>
      <c r="AM394" s="679"/>
      <c r="AN394" s="679"/>
    </row>
    <row r="395" ht="14.25" customHeight="1">
      <c r="AJ395" s="679"/>
      <c r="AK395" s="679"/>
      <c r="AL395" s="679"/>
      <c r="AM395" s="679"/>
      <c r="AN395" s="679"/>
    </row>
    <row r="396" ht="14.25" customHeight="1">
      <c r="AJ396" s="679"/>
      <c r="AK396" s="679"/>
      <c r="AL396" s="679"/>
      <c r="AM396" s="679"/>
      <c r="AN396" s="679"/>
    </row>
    <row r="397" ht="14.25" customHeight="1">
      <c r="AJ397" s="679"/>
      <c r="AK397" s="679"/>
      <c r="AL397" s="679"/>
      <c r="AM397" s="679"/>
      <c r="AN397" s="679"/>
    </row>
    <row r="398" ht="14.25" customHeight="1">
      <c r="AJ398" s="679"/>
      <c r="AK398" s="679"/>
      <c r="AL398" s="679"/>
      <c r="AM398" s="679"/>
      <c r="AN398" s="679"/>
    </row>
    <row r="399" ht="14.25" customHeight="1">
      <c r="AJ399" s="679"/>
      <c r="AK399" s="679"/>
      <c r="AL399" s="679"/>
      <c r="AM399" s="679"/>
      <c r="AN399" s="679"/>
    </row>
    <row r="400" ht="14.25" customHeight="1">
      <c r="AJ400" s="679"/>
      <c r="AK400" s="679"/>
      <c r="AL400" s="679"/>
      <c r="AM400" s="679"/>
      <c r="AN400" s="679"/>
    </row>
    <row r="401" ht="14.25" customHeight="1">
      <c r="AJ401" s="679"/>
      <c r="AK401" s="679"/>
      <c r="AL401" s="679"/>
      <c r="AM401" s="679"/>
      <c r="AN401" s="679"/>
    </row>
    <row r="402" ht="14.25" customHeight="1">
      <c r="AJ402" s="679"/>
      <c r="AK402" s="679"/>
      <c r="AL402" s="679"/>
      <c r="AM402" s="679"/>
      <c r="AN402" s="679"/>
    </row>
    <row r="403" ht="14.25" customHeight="1">
      <c r="AJ403" s="679"/>
      <c r="AK403" s="679"/>
      <c r="AL403" s="679"/>
      <c r="AM403" s="679"/>
      <c r="AN403" s="679"/>
    </row>
    <row r="404" ht="14.25" customHeight="1">
      <c r="AJ404" s="679"/>
      <c r="AK404" s="679"/>
      <c r="AL404" s="679"/>
      <c r="AM404" s="679"/>
      <c r="AN404" s="679"/>
    </row>
    <row r="405" ht="14.25" customHeight="1">
      <c r="AJ405" s="679"/>
      <c r="AK405" s="679"/>
      <c r="AL405" s="679"/>
      <c r="AM405" s="679"/>
      <c r="AN405" s="679"/>
    </row>
    <row r="406" ht="14.25" customHeight="1">
      <c r="AJ406" s="679"/>
      <c r="AK406" s="679"/>
      <c r="AL406" s="679"/>
      <c r="AM406" s="679"/>
      <c r="AN406" s="679"/>
    </row>
    <row r="407" ht="14.25" customHeight="1">
      <c r="AJ407" s="679"/>
      <c r="AK407" s="679"/>
      <c r="AL407" s="679"/>
      <c r="AM407" s="679"/>
      <c r="AN407" s="679"/>
    </row>
    <row r="408" ht="14.25" customHeight="1">
      <c r="AJ408" s="679"/>
      <c r="AK408" s="679"/>
      <c r="AL408" s="679"/>
      <c r="AM408" s="679"/>
      <c r="AN408" s="679"/>
    </row>
    <row r="409" ht="14.25" customHeight="1">
      <c r="AJ409" s="679"/>
      <c r="AK409" s="679"/>
      <c r="AL409" s="679"/>
      <c r="AM409" s="679"/>
      <c r="AN409" s="679"/>
    </row>
    <row r="410" ht="14.25" customHeight="1">
      <c r="AJ410" s="679"/>
      <c r="AK410" s="679"/>
      <c r="AL410" s="679"/>
      <c r="AM410" s="679"/>
      <c r="AN410" s="679"/>
    </row>
    <row r="411" ht="14.25" customHeight="1">
      <c r="AJ411" s="679"/>
      <c r="AK411" s="679"/>
      <c r="AL411" s="679"/>
      <c r="AM411" s="679"/>
      <c r="AN411" s="679"/>
    </row>
    <row r="412" ht="14.25" customHeight="1">
      <c r="AJ412" s="679"/>
      <c r="AK412" s="679"/>
      <c r="AL412" s="679"/>
      <c r="AM412" s="679"/>
      <c r="AN412" s="679"/>
    </row>
    <row r="413" ht="14.25" customHeight="1">
      <c r="AJ413" s="679"/>
      <c r="AK413" s="679"/>
      <c r="AL413" s="679"/>
      <c r="AM413" s="679"/>
      <c r="AN413" s="679"/>
    </row>
    <row r="414" ht="14.25" customHeight="1">
      <c r="AJ414" s="679"/>
      <c r="AK414" s="679"/>
      <c r="AL414" s="679"/>
      <c r="AM414" s="679"/>
      <c r="AN414" s="679"/>
    </row>
    <row r="415" ht="14.25" customHeight="1">
      <c r="AJ415" s="679"/>
      <c r="AK415" s="679"/>
      <c r="AL415" s="679"/>
      <c r="AM415" s="679"/>
      <c r="AN415" s="679"/>
    </row>
    <row r="416" ht="14.25" customHeight="1">
      <c r="AJ416" s="679"/>
      <c r="AK416" s="679"/>
      <c r="AL416" s="679"/>
      <c r="AM416" s="679"/>
      <c r="AN416" s="679"/>
    </row>
    <row r="417" ht="14.25" customHeight="1">
      <c r="AJ417" s="679"/>
      <c r="AK417" s="679"/>
      <c r="AL417" s="679"/>
      <c r="AM417" s="679"/>
      <c r="AN417" s="679"/>
    </row>
    <row r="418" ht="14.25" customHeight="1">
      <c r="AJ418" s="679"/>
      <c r="AK418" s="679"/>
      <c r="AL418" s="679"/>
      <c r="AM418" s="679"/>
      <c r="AN418" s="679"/>
    </row>
    <row r="419" ht="14.25" customHeight="1">
      <c r="AJ419" s="679"/>
      <c r="AK419" s="679"/>
      <c r="AL419" s="679"/>
      <c r="AM419" s="679"/>
      <c r="AN419" s="679"/>
    </row>
    <row r="420" ht="14.25" customHeight="1">
      <c r="AJ420" s="679"/>
      <c r="AK420" s="679"/>
      <c r="AL420" s="679"/>
      <c r="AM420" s="679"/>
      <c r="AN420" s="679"/>
    </row>
    <row r="421" ht="14.25" customHeight="1">
      <c r="AJ421" s="679"/>
      <c r="AK421" s="679"/>
      <c r="AL421" s="679"/>
      <c r="AM421" s="679"/>
      <c r="AN421" s="679"/>
    </row>
    <row r="422" ht="14.25" customHeight="1">
      <c r="AJ422" s="679"/>
      <c r="AK422" s="679"/>
      <c r="AL422" s="679"/>
      <c r="AM422" s="679"/>
      <c r="AN422" s="679"/>
    </row>
    <row r="423" ht="14.25" customHeight="1">
      <c r="AJ423" s="679"/>
      <c r="AK423" s="679"/>
      <c r="AL423" s="679"/>
      <c r="AM423" s="679"/>
      <c r="AN423" s="679"/>
    </row>
    <row r="424" ht="14.25" customHeight="1">
      <c r="AJ424" s="679"/>
      <c r="AK424" s="679"/>
      <c r="AL424" s="679"/>
      <c r="AM424" s="679"/>
      <c r="AN424" s="679"/>
    </row>
    <row r="425" ht="14.25" customHeight="1">
      <c r="AJ425" s="679"/>
      <c r="AK425" s="679"/>
      <c r="AL425" s="679"/>
      <c r="AM425" s="679"/>
      <c r="AN425" s="679"/>
    </row>
    <row r="426" ht="14.25" customHeight="1">
      <c r="AJ426" s="679"/>
      <c r="AK426" s="679"/>
      <c r="AL426" s="679"/>
      <c r="AM426" s="679"/>
      <c r="AN426" s="679"/>
    </row>
    <row r="427" ht="14.25" customHeight="1">
      <c r="AJ427" s="679"/>
      <c r="AK427" s="679"/>
      <c r="AL427" s="679"/>
      <c r="AM427" s="679"/>
      <c r="AN427" s="679"/>
    </row>
    <row r="428" ht="14.25" customHeight="1">
      <c r="AJ428" s="679"/>
      <c r="AK428" s="679"/>
      <c r="AL428" s="679"/>
      <c r="AM428" s="679"/>
      <c r="AN428" s="679"/>
    </row>
    <row r="429" ht="14.25" customHeight="1">
      <c r="AJ429" s="679"/>
      <c r="AK429" s="679"/>
      <c r="AL429" s="679"/>
      <c r="AM429" s="679"/>
      <c r="AN429" s="679"/>
    </row>
    <row r="430" ht="14.25" customHeight="1">
      <c r="AJ430" s="679"/>
      <c r="AK430" s="679"/>
      <c r="AL430" s="679"/>
      <c r="AM430" s="679"/>
      <c r="AN430" s="679"/>
    </row>
    <row r="431" ht="14.25" customHeight="1">
      <c r="AJ431" s="679"/>
      <c r="AK431" s="679"/>
      <c r="AL431" s="679"/>
      <c r="AM431" s="679"/>
      <c r="AN431" s="679"/>
    </row>
    <row r="432" ht="14.25" customHeight="1">
      <c r="AJ432" s="679"/>
      <c r="AK432" s="679"/>
      <c r="AL432" s="679"/>
      <c r="AM432" s="679"/>
      <c r="AN432" s="679"/>
    </row>
    <row r="433" ht="14.25" customHeight="1">
      <c r="AJ433" s="679"/>
      <c r="AK433" s="679"/>
      <c r="AL433" s="679"/>
      <c r="AM433" s="679"/>
      <c r="AN433" s="679"/>
    </row>
    <row r="434" ht="14.25" customHeight="1">
      <c r="AJ434" s="679"/>
      <c r="AK434" s="679"/>
      <c r="AL434" s="679"/>
      <c r="AM434" s="679"/>
      <c r="AN434" s="679"/>
    </row>
    <row r="435" ht="14.25" customHeight="1">
      <c r="AJ435" s="679"/>
      <c r="AK435" s="679"/>
      <c r="AL435" s="679"/>
      <c r="AM435" s="679"/>
      <c r="AN435" s="679"/>
    </row>
    <row r="436" ht="14.25" customHeight="1">
      <c r="AJ436" s="679"/>
      <c r="AK436" s="679"/>
      <c r="AL436" s="679"/>
      <c r="AM436" s="679"/>
      <c r="AN436" s="679"/>
    </row>
    <row r="437" ht="14.25" customHeight="1">
      <c r="AJ437" s="679"/>
      <c r="AK437" s="679"/>
      <c r="AL437" s="679"/>
      <c r="AM437" s="679"/>
      <c r="AN437" s="679"/>
    </row>
    <row r="438" ht="14.25" customHeight="1">
      <c r="AJ438" s="679"/>
      <c r="AK438" s="679"/>
      <c r="AL438" s="679"/>
      <c r="AM438" s="679"/>
      <c r="AN438" s="679"/>
    </row>
    <row r="439" ht="14.25" customHeight="1">
      <c r="AJ439" s="679"/>
      <c r="AK439" s="679"/>
      <c r="AL439" s="679"/>
      <c r="AM439" s="679"/>
      <c r="AN439" s="679"/>
    </row>
    <row r="440" ht="14.25" customHeight="1">
      <c r="AJ440" s="679"/>
      <c r="AK440" s="679"/>
      <c r="AL440" s="679"/>
      <c r="AM440" s="679"/>
      <c r="AN440" s="679"/>
    </row>
    <row r="441" ht="14.25" customHeight="1">
      <c r="AJ441" s="679"/>
      <c r="AK441" s="679"/>
      <c r="AL441" s="679"/>
      <c r="AM441" s="679"/>
      <c r="AN441" s="679"/>
    </row>
    <row r="442" ht="14.25" customHeight="1">
      <c r="AJ442" s="679"/>
      <c r="AK442" s="679"/>
      <c r="AL442" s="679"/>
      <c r="AM442" s="679"/>
      <c r="AN442" s="679"/>
    </row>
    <row r="443" ht="14.25" customHeight="1">
      <c r="AJ443" s="679"/>
      <c r="AK443" s="679"/>
      <c r="AL443" s="679"/>
      <c r="AM443" s="679"/>
      <c r="AN443" s="679"/>
    </row>
    <row r="444" ht="14.25" customHeight="1">
      <c r="AJ444" s="679"/>
      <c r="AK444" s="679"/>
      <c r="AL444" s="679"/>
      <c r="AM444" s="679"/>
      <c r="AN444" s="679"/>
    </row>
    <row r="445" ht="14.25" customHeight="1">
      <c r="AJ445" s="679"/>
      <c r="AK445" s="679"/>
      <c r="AL445" s="679"/>
      <c r="AM445" s="679"/>
      <c r="AN445" s="679"/>
    </row>
    <row r="446" ht="14.25" customHeight="1">
      <c r="AJ446" s="679"/>
      <c r="AK446" s="679"/>
      <c r="AL446" s="679"/>
      <c r="AM446" s="679"/>
      <c r="AN446" s="679"/>
    </row>
    <row r="447" ht="14.25" customHeight="1">
      <c r="AJ447" s="679"/>
      <c r="AK447" s="679"/>
      <c r="AL447" s="679"/>
      <c r="AM447" s="679"/>
      <c r="AN447" s="679"/>
    </row>
    <row r="448" ht="14.25" customHeight="1">
      <c r="AJ448" s="679"/>
      <c r="AK448" s="679"/>
      <c r="AL448" s="679"/>
      <c r="AM448" s="679"/>
      <c r="AN448" s="679"/>
    </row>
    <row r="449" ht="14.25" customHeight="1">
      <c r="AJ449" s="679"/>
      <c r="AK449" s="679"/>
      <c r="AL449" s="679"/>
      <c r="AM449" s="679"/>
      <c r="AN449" s="679"/>
    </row>
    <row r="450" ht="14.25" customHeight="1">
      <c r="AJ450" s="679"/>
      <c r="AK450" s="679"/>
      <c r="AL450" s="679"/>
      <c r="AM450" s="679"/>
      <c r="AN450" s="679"/>
    </row>
    <row r="451" ht="14.25" customHeight="1">
      <c r="AJ451" s="679"/>
      <c r="AK451" s="679"/>
      <c r="AL451" s="679"/>
      <c r="AM451" s="679"/>
      <c r="AN451" s="679"/>
    </row>
    <row r="452" ht="14.25" customHeight="1">
      <c r="AJ452" s="679"/>
      <c r="AK452" s="679"/>
      <c r="AL452" s="679"/>
      <c r="AM452" s="679"/>
      <c r="AN452" s="679"/>
    </row>
    <row r="453" ht="14.25" customHeight="1">
      <c r="AJ453" s="679"/>
      <c r="AK453" s="679"/>
      <c r="AL453" s="679"/>
      <c r="AM453" s="679"/>
      <c r="AN453" s="679"/>
    </row>
    <row r="454" ht="14.25" customHeight="1">
      <c r="AJ454" s="679"/>
      <c r="AK454" s="679"/>
      <c r="AL454" s="679"/>
      <c r="AM454" s="679"/>
      <c r="AN454" s="679"/>
    </row>
    <row r="455" ht="14.25" customHeight="1">
      <c r="AJ455" s="679"/>
      <c r="AK455" s="679"/>
      <c r="AL455" s="679"/>
      <c r="AM455" s="679"/>
      <c r="AN455" s="679"/>
    </row>
    <row r="456" ht="14.25" customHeight="1">
      <c r="AJ456" s="679"/>
      <c r="AK456" s="679"/>
      <c r="AL456" s="679"/>
      <c r="AM456" s="679"/>
      <c r="AN456" s="679"/>
    </row>
    <row r="457" ht="14.25" customHeight="1">
      <c r="AJ457" s="679"/>
      <c r="AK457" s="679"/>
      <c r="AL457" s="679"/>
      <c r="AM457" s="679"/>
      <c r="AN457" s="679"/>
    </row>
    <row r="458" ht="14.25" customHeight="1">
      <c r="AJ458" s="679"/>
      <c r="AK458" s="679"/>
      <c r="AL458" s="679"/>
      <c r="AM458" s="679"/>
      <c r="AN458" s="679"/>
    </row>
    <row r="459" ht="14.25" customHeight="1">
      <c r="AJ459" s="679"/>
      <c r="AK459" s="679"/>
      <c r="AL459" s="679"/>
      <c r="AM459" s="679"/>
      <c r="AN459" s="679"/>
    </row>
    <row r="460" ht="14.25" customHeight="1">
      <c r="AJ460" s="679"/>
      <c r="AK460" s="679"/>
      <c r="AL460" s="679"/>
      <c r="AM460" s="679"/>
      <c r="AN460" s="679"/>
    </row>
    <row r="461" ht="14.25" customHeight="1">
      <c r="AJ461" s="679"/>
      <c r="AK461" s="679"/>
      <c r="AL461" s="679"/>
      <c r="AM461" s="679"/>
      <c r="AN461" s="679"/>
    </row>
    <row r="462" ht="14.25" customHeight="1">
      <c r="AJ462" s="679"/>
      <c r="AK462" s="679"/>
      <c r="AL462" s="679"/>
      <c r="AM462" s="679"/>
      <c r="AN462" s="679"/>
    </row>
    <row r="463" ht="14.25" customHeight="1">
      <c r="AJ463" s="679"/>
      <c r="AK463" s="679"/>
      <c r="AL463" s="679"/>
      <c r="AM463" s="679"/>
      <c r="AN463" s="679"/>
    </row>
    <row r="464" ht="14.25" customHeight="1">
      <c r="AJ464" s="679"/>
      <c r="AK464" s="679"/>
      <c r="AL464" s="679"/>
      <c r="AM464" s="679"/>
      <c r="AN464" s="679"/>
    </row>
    <row r="465" ht="14.25" customHeight="1">
      <c r="AJ465" s="679"/>
      <c r="AK465" s="679"/>
      <c r="AL465" s="679"/>
      <c r="AM465" s="679"/>
      <c r="AN465" s="679"/>
    </row>
    <row r="466" ht="14.25" customHeight="1">
      <c r="AJ466" s="679"/>
      <c r="AK466" s="679"/>
      <c r="AL466" s="679"/>
      <c r="AM466" s="679"/>
      <c r="AN466" s="679"/>
    </row>
    <row r="467" ht="14.25" customHeight="1">
      <c r="AJ467" s="679"/>
      <c r="AK467" s="679"/>
      <c r="AL467" s="679"/>
      <c r="AM467" s="679"/>
      <c r="AN467" s="679"/>
    </row>
    <row r="468" ht="14.25" customHeight="1">
      <c r="AJ468" s="679"/>
      <c r="AK468" s="679"/>
      <c r="AL468" s="679"/>
      <c r="AM468" s="679"/>
      <c r="AN468" s="679"/>
    </row>
    <row r="469" ht="14.25" customHeight="1">
      <c r="AJ469" s="679"/>
      <c r="AK469" s="679"/>
      <c r="AL469" s="679"/>
      <c r="AM469" s="679"/>
      <c r="AN469" s="679"/>
    </row>
    <row r="470" ht="14.25" customHeight="1">
      <c r="AJ470" s="679"/>
      <c r="AK470" s="679"/>
      <c r="AL470" s="679"/>
      <c r="AM470" s="679"/>
      <c r="AN470" s="679"/>
    </row>
    <row r="471" ht="14.25" customHeight="1">
      <c r="AJ471" s="679"/>
      <c r="AK471" s="679"/>
      <c r="AL471" s="679"/>
      <c r="AM471" s="679"/>
      <c r="AN471" s="679"/>
    </row>
    <row r="472" ht="14.25" customHeight="1">
      <c r="AJ472" s="679"/>
      <c r="AK472" s="679"/>
      <c r="AL472" s="679"/>
      <c r="AM472" s="679"/>
      <c r="AN472" s="679"/>
    </row>
    <row r="473" ht="14.25" customHeight="1">
      <c r="AJ473" s="679"/>
      <c r="AK473" s="679"/>
      <c r="AL473" s="679"/>
      <c r="AM473" s="679"/>
      <c r="AN473" s="679"/>
    </row>
    <row r="474" ht="14.25" customHeight="1">
      <c r="AJ474" s="679"/>
      <c r="AK474" s="679"/>
      <c r="AL474" s="679"/>
      <c r="AM474" s="679"/>
      <c r="AN474" s="679"/>
    </row>
    <row r="475" ht="14.25" customHeight="1">
      <c r="AJ475" s="679"/>
      <c r="AK475" s="679"/>
      <c r="AL475" s="679"/>
      <c r="AM475" s="679"/>
      <c r="AN475" s="679"/>
    </row>
    <row r="476" ht="14.25" customHeight="1">
      <c r="AJ476" s="679"/>
      <c r="AK476" s="679"/>
      <c r="AL476" s="679"/>
      <c r="AM476" s="679"/>
      <c r="AN476" s="679"/>
    </row>
    <row r="477" ht="14.25" customHeight="1">
      <c r="AJ477" s="679"/>
      <c r="AK477" s="679"/>
      <c r="AL477" s="679"/>
      <c r="AM477" s="679"/>
      <c r="AN477" s="679"/>
    </row>
    <row r="478" ht="14.25" customHeight="1">
      <c r="AJ478" s="679"/>
      <c r="AK478" s="679"/>
      <c r="AL478" s="679"/>
      <c r="AM478" s="679"/>
      <c r="AN478" s="679"/>
    </row>
    <row r="479" ht="14.25" customHeight="1">
      <c r="AJ479" s="679"/>
      <c r="AK479" s="679"/>
      <c r="AL479" s="679"/>
      <c r="AM479" s="679"/>
      <c r="AN479" s="679"/>
    </row>
    <row r="480" ht="14.25" customHeight="1">
      <c r="AJ480" s="679"/>
      <c r="AK480" s="679"/>
      <c r="AL480" s="679"/>
      <c r="AM480" s="679"/>
      <c r="AN480" s="679"/>
    </row>
    <row r="481" ht="14.25" customHeight="1">
      <c r="AJ481" s="679"/>
      <c r="AK481" s="679"/>
      <c r="AL481" s="679"/>
      <c r="AM481" s="679"/>
      <c r="AN481" s="679"/>
    </row>
    <row r="482" ht="14.25" customHeight="1">
      <c r="AJ482" s="679"/>
      <c r="AK482" s="679"/>
      <c r="AL482" s="679"/>
      <c r="AM482" s="679"/>
      <c r="AN482" s="679"/>
    </row>
    <row r="483" ht="14.25" customHeight="1">
      <c r="AJ483" s="679"/>
      <c r="AK483" s="679"/>
      <c r="AL483" s="679"/>
      <c r="AM483" s="679"/>
      <c r="AN483" s="679"/>
    </row>
    <row r="484" ht="14.25" customHeight="1">
      <c r="AJ484" s="679"/>
      <c r="AK484" s="679"/>
      <c r="AL484" s="679"/>
      <c r="AM484" s="679"/>
      <c r="AN484" s="679"/>
    </row>
    <row r="485" ht="14.25" customHeight="1">
      <c r="AJ485" s="679"/>
      <c r="AK485" s="679"/>
      <c r="AL485" s="679"/>
      <c r="AM485" s="679"/>
      <c r="AN485" s="679"/>
    </row>
    <row r="486" ht="14.25" customHeight="1">
      <c r="AJ486" s="679"/>
      <c r="AK486" s="679"/>
      <c r="AL486" s="679"/>
      <c r="AM486" s="679"/>
      <c r="AN486" s="679"/>
    </row>
    <row r="487" ht="14.25" customHeight="1">
      <c r="AJ487" s="679"/>
      <c r="AK487" s="679"/>
      <c r="AL487" s="679"/>
      <c r="AM487" s="679"/>
      <c r="AN487" s="679"/>
    </row>
    <row r="488" ht="14.25" customHeight="1">
      <c r="AJ488" s="679"/>
      <c r="AK488" s="679"/>
      <c r="AL488" s="679"/>
      <c r="AM488" s="679"/>
      <c r="AN488" s="679"/>
    </row>
    <row r="489" ht="14.25" customHeight="1">
      <c r="AJ489" s="679"/>
      <c r="AK489" s="679"/>
      <c r="AL489" s="679"/>
      <c r="AM489" s="679"/>
      <c r="AN489" s="679"/>
    </row>
    <row r="490" ht="14.25" customHeight="1">
      <c r="AJ490" s="679"/>
      <c r="AK490" s="679"/>
      <c r="AL490" s="679"/>
      <c r="AM490" s="679"/>
      <c r="AN490" s="679"/>
    </row>
    <row r="491" ht="14.25" customHeight="1">
      <c r="AJ491" s="679"/>
      <c r="AK491" s="679"/>
      <c r="AL491" s="679"/>
      <c r="AM491" s="679"/>
      <c r="AN491" s="679"/>
    </row>
    <row r="492" ht="14.25" customHeight="1">
      <c r="AJ492" s="679"/>
      <c r="AK492" s="679"/>
      <c r="AL492" s="679"/>
      <c r="AM492" s="679"/>
      <c r="AN492" s="679"/>
    </row>
    <row r="493" ht="14.25" customHeight="1">
      <c r="AJ493" s="679"/>
      <c r="AK493" s="679"/>
      <c r="AL493" s="679"/>
      <c r="AM493" s="679"/>
      <c r="AN493" s="679"/>
    </row>
    <row r="494" ht="14.25" customHeight="1">
      <c r="AJ494" s="679"/>
      <c r="AK494" s="679"/>
      <c r="AL494" s="679"/>
      <c r="AM494" s="679"/>
      <c r="AN494" s="679"/>
    </row>
    <row r="495" ht="14.25" customHeight="1">
      <c r="AJ495" s="679"/>
      <c r="AK495" s="679"/>
      <c r="AL495" s="679"/>
      <c r="AM495" s="679"/>
      <c r="AN495" s="679"/>
    </row>
    <row r="496" ht="14.25" customHeight="1">
      <c r="AJ496" s="679"/>
      <c r="AK496" s="679"/>
      <c r="AL496" s="679"/>
      <c r="AM496" s="679"/>
      <c r="AN496" s="679"/>
    </row>
    <row r="497" ht="14.25" customHeight="1">
      <c r="AJ497" s="679"/>
      <c r="AK497" s="679"/>
      <c r="AL497" s="679"/>
      <c r="AM497" s="679"/>
      <c r="AN497" s="679"/>
    </row>
    <row r="498" ht="14.25" customHeight="1">
      <c r="AJ498" s="679"/>
      <c r="AK498" s="679"/>
      <c r="AL498" s="679"/>
      <c r="AM498" s="679"/>
      <c r="AN498" s="679"/>
    </row>
    <row r="499" ht="14.25" customHeight="1">
      <c r="AJ499" s="679"/>
      <c r="AK499" s="679"/>
      <c r="AL499" s="679"/>
      <c r="AM499" s="679"/>
      <c r="AN499" s="679"/>
    </row>
    <row r="500" ht="14.25" customHeight="1">
      <c r="AJ500" s="679"/>
      <c r="AK500" s="679"/>
      <c r="AL500" s="679"/>
      <c r="AM500" s="679"/>
      <c r="AN500" s="679"/>
    </row>
    <row r="501" ht="14.25" customHeight="1">
      <c r="AJ501" s="679"/>
      <c r="AK501" s="679"/>
      <c r="AL501" s="679"/>
      <c r="AM501" s="679"/>
      <c r="AN501" s="679"/>
    </row>
    <row r="502" ht="14.25" customHeight="1">
      <c r="AJ502" s="679"/>
      <c r="AK502" s="679"/>
      <c r="AL502" s="679"/>
      <c r="AM502" s="679"/>
      <c r="AN502" s="679"/>
    </row>
    <row r="503" ht="14.25" customHeight="1">
      <c r="AJ503" s="679"/>
      <c r="AK503" s="679"/>
      <c r="AL503" s="679"/>
      <c r="AM503" s="679"/>
      <c r="AN503" s="679"/>
    </row>
    <row r="504" ht="14.25" customHeight="1">
      <c r="AJ504" s="679"/>
      <c r="AK504" s="679"/>
      <c r="AL504" s="679"/>
      <c r="AM504" s="679"/>
      <c r="AN504" s="679"/>
    </row>
    <row r="505" ht="14.25" customHeight="1">
      <c r="AJ505" s="679"/>
      <c r="AK505" s="679"/>
      <c r="AL505" s="679"/>
      <c r="AM505" s="679"/>
      <c r="AN505" s="679"/>
    </row>
    <row r="506" ht="14.25" customHeight="1">
      <c r="AJ506" s="679"/>
      <c r="AK506" s="679"/>
      <c r="AL506" s="679"/>
      <c r="AM506" s="679"/>
      <c r="AN506" s="679"/>
    </row>
    <row r="507" ht="14.25" customHeight="1">
      <c r="AJ507" s="679"/>
      <c r="AK507" s="679"/>
      <c r="AL507" s="679"/>
      <c r="AM507" s="679"/>
      <c r="AN507" s="679"/>
    </row>
    <row r="508" ht="14.25" customHeight="1">
      <c r="AJ508" s="679"/>
      <c r="AK508" s="679"/>
      <c r="AL508" s="679"/>
      <c r="AM508" s="679"/>
      <c r="AN508" s="679"/>
    </row>
    <row r="509" ht="14.25" customHeight="1">
      <c r="AJ509" s="679"/>
      <c r="AK509" s="679"/>
      <c r="AL509" s="679"/>
      <c r="AM509" s="679"/>
      <c r="AN509" s="679"/>
    </row>
    <row r="510" ht="14.25" customHeight="1">
      <c r="AJ510" s="679"/>
      <c r="AK510" s="679"/>
      <c r="AL510" s="679"/>
      <c r="AM510" s="679"/>
      <c r="AN510" s="679"/>
    </row>
    <row r="511" ht="14.25" customHeight="1">
      <c r="AJ511" s="679"/>
      <c r="AK511" s="679"/>
      <c r="AL511" s="679"/>
      <c r="AM511" s="679"/>
      <c r="AN511" s="679"/>
    </row>
    <row r="512" ht="14.25" customHeight="1">
      <c r="AJ512" s="679"/>
      <c r="AK512" s="679"/>
      <c r="AL512" s="679"/>
      <c r="AM512" s="679"/>
      <c r="AN512" s="679"/>
    </row>
    <row r="513" ht="14.25" customHeight="1">
      <c r="AJ513" s="679"/>
      <c r="AK513" s="679"/>
      <c r="AL513" s="679"/>
      <c r="AM513" s="679"/>
      <c r="AN513" s="679"/>
    </row>
    <row r="514" ht="14.25" customHeight="1">
      <c r="AJ514" s="679"/>
      <c r="AK514" s="679"/>
      <c r="AL514" s="679"/>
      <c r="AM514" s="679"/>
      <c r="AN514" s="679"/>
    </row>
    <row r="515" ht="14.25" customHeight="1">
      <c r="AJ515" s="679"/>
      <c r="AK515" s="679"/>
      <c r="AL515" s="679"/>
      <c r="AM515" s="679"/>
      <c r="AN515" s="679"/>
    </row>
    <row r="516" ht="14.25" customHeight="1">
      <c r="AJ516" s="679"/>
      <c r="AK516" s="679"/>
      <c r="AL516" s="679"/>
      <c r="AM516" s="679"/>
      <c r="AN516" s="679"/>
    </row>
    <row r="517" ht="14.25" customHeight="1">
      <c r="AJ517" s="679"/>
      <c r="AK517" s="679"/>
      <c r="AL517" s="679"/>
      <c r="AM517" s="679"/>
      <c r="AN517" s="679"/>
    </row>
    <row r="518" ht="14.25" customHeight="1">
      <c r="AJ518" s="679"/>
      <c r="AK518" s="679"/>
      <c r="AL518" s="679"/>
      <c r="AM518" s="679"/>
      <c r="AN518" s="679"/>
    </row>
    <row r="519" ht="14.25" customHeight="1">
      <c r="AJ519" s="679"/>
      <c r="AK519" s="679"/>
      <c r="AL519" s="679"/>
      <c r="AM519" s="679"/>
      <c r="AN519" s="679"/>
    </row>
    <row r="520" ht="14.25" customHeight="1">
      <c r="AJ520" s="679"/>
      <c r="AK520" s="679"/>
      <c r="AL520" s="679"/>
      <c r="AM520" s="679"/>
      <c r="AN520" s="679"/>
    </row>
    <row r="521" ht="14.25" customHeight="1">
      <c r="AJ521" s="679"/>
      <c r="AK521" s="679"/>
      <c r="AL521" s="679"/>
      <c r="AM521" s="679"/>
      <c r="AN521" s="679"/>
    </row>
    <row r="522" ht="14.25" customHeight="1">
      <c r="AJ522" s="679"/>
      <c r="AK522" s="679"/>
      <c r="AL522" s="679"/>
      <c r="AM522" s="679"/>
      <c r="AN522" s="679"/>
    </row>
    <row r="523" ht="14.25" customHeight="1">
      <c r="AJ523" s="679"/>
      <c r="AK523" s="679"/>
      <c r="AL523" s="679"/>
      <c r="AM523" s="679"/>
      <c r="AN523" s="679"/>
    </row>
    <row r="524" ht="14.25" customHeight="1">
      <c r="AJ524" s="679"/>
      <c r="AK524" s="679"/>
      <c r="AL524" s="679"/>
      <c r="AM524" s="679"/>
      <c r="AN524" s="679"/>
    </row>
    <row r="525" ht="14.25" customHeight="1">
      <c r="AJ525" s="679"/>
      <c r="AK525" s="679"/>
      <c r="AL525" s="679"/>
      <c r="AM525" s="679"/>
      <c r="AN525" s="679"/>
    </row>
    <row r="526" ht="14.25" customHeight="1">
      <c r="AJ526" s="679"/>
      <c r="AK526" s="679"/>
      <c r="AL526" s="679"/>
      <c r="AM526" s="679"/>
      <c r="AN526" s="679"/>
    </row>
    <row r="527" ht="14.25" customHeight="1">
      <c r="AJ527" s="679"/>
      <c r="AK527" s="679"/>
      <c r="AL527" s="679"/>
      <c r="AM527" s="679"/>
      <c r="AN527" s="679"/>
    </row>
    <row r="528" ht="14.25" customHeight="1">
      <c r="AJ528" s="679"/>
      <c r="AK528" s="679"/>
      <c r="AL528" s="679"/>
      <c r="AM528" s="679"/>
      <c r="AN528" s="679"/>
    </row>
    <row r="529" ht="14.25" customHeight="1">
      <c r="AJ529" s="679"/>
      <c r="AK529" s="679"/>
      <c r="AL529" s="679"/>
      <c r="AM529" s="679"/>
      <c r="AN529" s="679"/>
    </row>
    <row r="530" ht="14.25" customHeight="1">
      <c r="AJ530" s="679"/>
      <c r="AK530" s="679"/>
      <c r="AL530" s="679"/>
      <c r="AM530" s="679"/>
      <c r="AN530" s="679"/>
    </row>
    <row r="531" ht="14.25" customHeight="1">
      <c r="AJ531" s="679"/>
      <c r="AK531" s="679"/>
      <c r="AL531" s="679"/>
      <c r="AM531" s="679"/>
      <c r="AN531" s="679"/>
    </row>
    <row r="532" ht="14.25" customHeight="1">
      <c r="AJ532" s="679"/>
      <c r="AK532" s="679"/>
      <c r="AL532" s="679"/>
      <c r="AM532" s="679"/>
      <c r="AN532" s="679"/>
    </row>
    <row r="533" ht="14.25" customHeight="1">
      <c r="AJ533" s="679"/>
      <c r="AK533" s="679"/>
      <c r="AL533" s="679"/>
      <c r="AM533" s="679"/>
      <c r="AN533" s="679"/>
    </row>
    <row r="534" ht="14.25" customHeight="1">
      <c r="AJ534" s="679"/>
      <c r="AK534" s="679"/>
      <c r="AL534" s="679"/>
      <c r="AM534" s="679"/>
      <c r="AN534" s="679"/>
    </row>
    <row r="535" ht="14.25" customHeight="1">
      <c r="AJ535" s="679"/>
      <c r="AK535" s="679"/>
      <c r="AL535" s="679"/>
      <c r="AM535" s="679"/>
      <c r="AN535" s="679"/>
    </row>
    <row r="536" ht="14.25" customHeight="1">
      <c r="AJ536" s="679"/>
      <c r="AK536" s="679"/>
      <c r="AL536" s="679"/>
      <c r="AM536" s="679"/>
      <c r="AN536" s="679"/>
    </row>
    <row r="537" ht="14.25" customHeight="1">
      <c r="AJ537" s="679"/>
      <c r="AK537" s="679"/>
      <c r="AL537" s="679"/>
      <c r="AM537" s="679"/>
      <c r="AN537" s="679"/>
    </row>
    <row r="538" ht="14.25" customHeight="1">
      <c r="AJ538" s="679"/>
      <c r="AK538" s="679"/>
      <c r="AL538" s="679"/>
      <c r="AM538" s="679"/>
      <c r="AN538" s="679"/>
    </row>
    <row r="539" ht="14.25" customHeight="1">
      <c r="AJ539" s="679"/>
      <c r="AK539" s="679"/>
      <c r="AL539" s="679"/>
      <c r="AM539" s="679"/>
      <c r="AN539" s="679"/>
    </row>
    <row r="540" ht="14.25" customHeight="1">
      <c r="AJ540" s="679"/>
      <c r="AK540" s="679"/>
      <c r="AL540" s="679"/>
      <c r="AM540" s="679"/>
      <c r="AN540" s="679"/>
    </row>
    <row r="541" ht="14.25" customHeight="1">
      <c r="AJ541" s="679"/>
      <c r="AK541" s="679"/>
      <c r="AL541" s="679"/>
      <c r="AM541" s="679"/>
      <c r="AN541" s="679"/>
    </row>
    <row r="542" ht="14.25" customHeight="1">
      <c r="AJ542" s="679"/>
      <c r="AK542" s="679"/>
      <c r="AL542" s="679"/>
      <c r="AM542" s="679"/>
      <c r="AN542" s="679"/>
    </row>
    <row r="543" ht="14.25" customHeight="1">
      <c r="AJ543" s="679"/>
      <c r="AK543" s="679"/>
      <c r="AL543" s="679"/>
      <c r="AM543" s="679"/>
      <c r="AN543" s="679"/>
    </row>
    <row r="544" ht="14.25" customHeight="1">
      <c r="AJ544" s="679"/>
      <c r="AK544" s="679"/>
      <c r="AL544" s="679"/>
      <c r="AM544" s="679"/>
      <c r="AN544" s="679"/>
    </row>
    <row r="545" ht="14.25" customHeight="1">
      <c r="AJ545" s="679"/>
      <c r="AK545" s="679"/>
      <c r="AL545" s="679"/>
      <c r="AM545" s="679"/>
      <c r="AN545" s="679"/>
    </row>
    <row r="546" ht="14.25" customHeight="1">
      <c r="AJ546" s="679"/>
      <c r="AK546" s="679"/>
      <c r="AL546" s="679"/>
      <c r="AM546" s="679"/>
      <c r="AN546" s="679"/>
    </row>
    <row r="547" ht="14.25" customHeight="1">
      <c r="AJ547" s="679"/>
      <c r="AK547" s="679"/>
      <c r="AL547" s="679"/>
      <c r="AM547" s="679"/>
      <c r="AN547" s="679"/>
    </row>
    <row r="548" ht="14.25" customHeight="1">
      <c r="AJ548" s="679"/>
      <c r="AK548" s="679"/>
      <c r="AL548" s="679"/>
      <c r="AM548" s="679"/>
      <c r="AN548" s="679"/>
    </row>
    <row r="549" ht="14.25" customHeight="1">
      <c r="AJ549" s="679"/>
      <c r="AK549" s="679"/>
      <c r="AL549" s="679"/>
      <c r="AM549" s="679"/>
      <c r="AN549" s="679"/>
    </row>
    <row r="550" ht="14.25" customHeight="1">
      <c r="AJ550" s="679"/>
      <c r="AK550" s="679"/>
      <c r="AL550" s="679"/>
      <c r="AM550" s="679"/>
      <c r="AN550" s="679"/>
    </row>
    <row r="551" ht="14.25" customHeight="1">
      <c r="AJ551" s="679"/>
      <c r="AK551" s="679"/>
      <c r="AL551" s="679"/>
      <c r="AM551" s="679"/>
      <c r="AN551" s="679"/>
    </row>
    <row r="552" ht="14.25" customHeight="1">
      <c r="AJ552" s="679"/>
      <c r="AK552" s="679"/>
      <c r="AL552" s="679"/>
      <c r="AM552" s="679"/>
      <c r="AN552" s="679"/>
    </row>
    <row r="553" ht="14.25" customHeight="1">
      <c r="AJ553" s="679"/>
      <c r="AK553" s="679"/>
      <c r="AL553" s="679"/>
      <c r="AM553" s="679"/>
      <c r="AN553" s="679"/>
    </row>
    <row r="554" ht="14.25" customHeight="1">
      <c r="AJ554" s="679"/>
      <c r="AK554" s="679"/>
      <c r="AL554" s="679"/>
      <c r="AM554" s="679"/>
      <c r="AN554" s="679"/>
    </row>
    <row r="555" ht="14.25" customHeight="1">
      <c r="AJ555" s="679"/>
      <c r="AK555" s="679"/>
      <c r="AL555" s="679"/>
      <c r="AM555" s="679"/>
      <c r="AN555" s="679"/>
    </row>
    <row r="556" ht="14.25" customHeight="1">
      <c r="AJ556" s="679"/>
      <c r="AK556" s="679"/>
      <c r="AL556" s="679"/>
      <c r="AM556" s="679"/>
      <c r="AN556" s="679"/>
    </row>
    <row r="557" ht="14.25" customHeight="1">
      <c r="AJ557" s="679"/>
      <c r="AK557" s="679"/>
      <c r="AL557" s="679"/>
      <c r="AM557" s="679"/>
      <c r="AN557" s="679"/>
    </row>
    <row r="558" ht="14.25" customHeight="1">
      <c r="AJ558" s="679"/>
      <c r="AK558" s="679"/>
      <c r="AL558" s="679"/>
      <c r="AM558" s="679"/>
      <c r="AN558" s="679"/>
    </row>
    <row r="559" ht="14.25" customHeight="1">
      <c r="AJ559" s="679"/>
      <c r="AK559" s="679"/>
      <c r="AL559" s="679"/>
      <c r="AM559" s="679"/>
      <c r="AN559" s="679"/>
    </row>
    <row r="560" ht="14.25" customHeight="1">
      <c r="AJ560" s="679"/>
      <c r="AK560" s="679"/>
      <c r="AL560" s="679"/>
      <c r="AM560" s="679"/>
      <c r="AN560" s="679"/>
    </row>
    <row r="561" ht="14.25" customHeight="1">
      <c r="AJ561" s="679"/>
      <c r="AK561" s="679"/>
      <c r="AL561" s="679"/>
      <c r="AM561" s="679"/>
      <c r="AN561" s="679"/>
    </row>
    <row r="562" ht="14.25" customHeight="1">
      <c r="AJ562" s="679"/>
      <c r="AK562" s="679"/>
      <c r="AL562" s="679"/>
      <c r="AM562" s="679"/>
      <c r="AN562" s="679"/>
    </row>
    <row r="563" ht="14.25" customHeight="1">
      <c r="AJ563" s="679"/>
      <c r="AK563" s="679"/>
      <c r="AL563" s="679"/>
      <c r="AM563" s="679"/>
      <c r="AN563" s="679"/>
    </row>
    <row r="564" ht="14.25" customHeight="1">
      <c r="AJ564" s="679"/>
      <c r="AK564" s="679"/>
      <c r="AL564" s="679"/>
      <c r="AM564" s="679"/>
      <c r="AN564" s="679"/>
    </row>
    <row r="565" ht="14.25" customHeight="1">
      <c r="AJ565" s="679"/>
      <c r="AK565" s="679"/>
      <c r="AL565" s="679"/>
      <c r="AM565" s="679"/>
      <c r="AN565" s="679"/>
    </row>
    <row r="566" ht="14.25" customHeight="1">
      <c r="AJ566" s="679"/>
      <c r="AK566" s="679"/>
      <c r="AL566" s="679"/>
      <c r="AM566" s="679"/>
      <c r="AN566" s="679"/>
    </row>
    <row r="567" ht="14.25" customHeight="1">
      <c r="AJ567" s="679"/>
      <c r="AK567" s="679"/>
      <c r="AL567" s="679"/>
      <c r="AM567" s="679"/>
      <c r="AN567" s="679"/>
    </row>
    <row r="568" ht="14.25" customHeight="1">
      <c r="AJ568" s="679"/>
      <c r="AK568" s="679"/>
      <c r="AL568" s="679"/>
      <c r="AM568" s="679"/>
      <c r="AN568" s="679"/>
    </row>
    <row r="569" ht="14.25" customHeight="1">
      <c r="AJ569" s="679"/>
      <c r="AK569" s="679"/>
      <c r="AL569" s="679"/>
      <c r="AM569" s="679"/>
      <c r="AN569" s="679"/>
    </row>
    <row r="570" ht="14.25" customHeight="1">
      <c r="AJ570" s="679"/>
      <c r="AK570" s="679"/>
      <c r="AL570" s="679"/>
      <c r="AM570" s="679"/>
      <c r="AN570" s="679"/>
    </row>
    <row r="571" ht="14.25" customHeight="1">
      <c r="AJ571" s="679"/>
      <c r="AK571" s="679"/>
      <c r="AL571" s="679"/>
      <c r="AM571" s="679"/>
      <c r="AN571" s="679"/>
    </row>
    <row r="572" ht="14.25" customHeight="1">
      <c r="AJ572" s="679"/>
      <c r="AK572" s="679"/>
      <c r="AL572" s="679"/>
      <c r="AM572" s="679"/>
      <c r="AN572" s="679"/>
    </row>
    <row r="573" ht="14.25" customHeight="1">
      <c r="AJ573" s="679"/>
      <c r="AK573" s="679"/>
      <c r="AL573" s="679"/>
      <c r="AM573" s="679"/>
      <c r="AN573" s="679"/>
    </row>
    <row r="574" ht="14.25" customHeight="1">
      <c r="AJ574" s="679"/>
      <c r="AK574" s="679"/>
      <c r="AL574" s="679"/>
      <c r="AM574" s="679"/>
      <c r="AN574" s="679"/>
    </row>
    <row r="575" ht="14.25" customHeight="1">
      <c r="AJ575" s="679"/>
      <c r="AK575" s="679"/>
      <c r="AL575" s="679"/>
      <c r="AM575" s="679"/>
      <c r="AN575" s="679"/>
    </row>
    <row r="576" ht="14.25" customHeight="1">
      <c r="AJ576" s="679"/>
      <c r="AK576" s="679"/>
      <c r="AL576" s="679"/>
      <c r="AM576" s="679"/>
      <c r="AN576" s="679"/>
    </row>
    <row r="577" ht="14.25" customHeight="1">
      <c r="AJ577" s="679"/>
      <c r="AK577" s="679"/>
      <c r="AL577" s="679"/>
      <c r="AM577" s="679"/>
      <c r="AN577" s="679"/>
    </row>
    <row r="578" ht="14.25" customHeight="1">
      <c r="AJ578" s="679"/>
      <c r="AK578" s="679"/>
      <c r="AL578" s="679"/>
      <c r="AM578" s="679"/>
      <c r="AN578" s="679"/>
    </row>
    <row r="579" ht="14.25" customHeight="1">
      <c r="AJ579" s="679"/>
      <c r="AK579" s="679"/>
      <c r="AL579" s="679"/>
      <c r="AM579" s="679"/>
      <c r="AN579" s="679"/>
    </row>
    <row r="580" ht="14.25" customHeight="1">
      <c r="AJ580" s="679"/>
      <c r="AK580" s="679"/>
      <c r="AL580" s="679"/>
      <c r="AM580" s="679"/>
      <c r="AN580" s="679"/>
    </row>
    <row r="581" ht="14.25" customHeight="1">
      <c r="AJ581" s="679"/>
      <c r="AK581" s="679"/>
      <c r="AL581" s="679"/>
      <c r="AM581" s="679"/>
      <c r="AN581" s="679"/>
    </row>
    <row r="582" ht="14.25" customHeight="1">
      <c r="AJ582" s="679"/>
      <c r="AK582" s="679"/>
      <c r="AL582" s="679"/>
      <c r="AM582" s="679"/>
      <c r="AN582" s="679"/>
    </row>
    <row r="583" ht="14.25" customHeight="1">
      <c r="AJ583" s="679"/>
      <c r="AK583" s="679"/>
      <c r="AL583" s="679"/>
      <c r="AM583" s="679"/>
      <c r="AN583" s="679"/>
    </row>
    <row r="584" ht="14.25" customHeight="1">
      <c r="AJ584" s="679"/>
      <c r="AK584" s="679"/>
      <c r="AL584" s="679"/>
      <c r="AM584" s="679"/>
      <c r="AN584" s="679"/>
    </row>
    <row r="585" ht="14.25" customHeight="1">
      <c r="AJ585" s="679"/>
      <c r="AK585" s="679"/>
      <c r="AL585" s="679"/>
      <c r="AM585" s="679"/>
      <c r="AN585" s="679"/>
    </row>
    <row r="586" ht="14.25" customHeight="1">
      <c r="AJ586" s="679"/>
      <c r="AK586" s="679"/>
      <c r="AL586" s="679"/>
      <c r="AM586" s="679"/>
      <c r="AN586" s="679"/>
    </row>
    <row r="587" ht="14.25" customHeight="1">
      <c r="AJ587" s="679"/>
      <c r="AK587" s="679"/>
      <c r="AL587" s="679"/>
      <c r="AM587" s="679"/>
      <c r="AN587" s="679"/>
    </row>
    <row r="588" ht="14.25" customHeight="1">
      <c r="AJ588" s="679"/>
      <c r="AK588" s="679"/>
      <c r="AL588" s="679"/>
      <c r="AM588" s="679"/>
      <c r="AN588" s="679"/>
    </row>
    <row r="589" ht="14.25" customHeight="1">
      <c r="AJ589" s="679"/>
      <c r="AK589" s="679"/>
      <c r="AL589" s="679"/>
      <c r="AM589" s="679"/>
      <c r="AN589" s="679"/>
    </row>
    <row r="590" ht="14.25" customHeight="1">
      <c r="AJ590" s="679"/>
      <c r="AK590" s="679"/>
      <c r="AL590" s="679"/>
      <c r="AM590" s="679"/>
      <c r="AN590" s="679"/>
    </row>
    <row r="591" ht="14.25" customHeight="1">
      <c r="AJ591" s="679"/>
      <c r="AK591" s="679"/>
      <c r="AL591" s="679"/>
      <c r="AM591" s="679"/>
      <c r="AN591" s="679"/>
    </row>
    <row r="592" ht="14.25" customHeight="1">
      <c r="AJ592" s="679"/>
      <c r="AK592" s="679"/>
      <c r="AL592" s="679"/>
      <c r="AM592" s="679"/>
      <c r="AN592" s="679"/>
    </row>
    <row r="593" ht="14.25" customHeight="1">
      <c r="AJ593" s="679"/>
      <c r="AK593" s="679"/>
      <c r="AL593" s="679"/>
      <c r="AM593" s="679"/>
      <c r="AN593" s="679"/>
    </row>
    <row r="594" ht="14.25" customHeight="1">
      <c r="AJ594" s="679"/>
      <c r="AK594" s="679"/>
      <c r="AL594" s="679"/>
      <c r="AM594" s="679"/>
      <c r="AN594" s="679"/>
    </row>
    <row r="595" ht="14.25" customHeight="1">
      <c r="AJ595" s="679"/>
      <c r="AK595" s="679"/>
      <c r="AL595" s="679"/>
      <c r="AM595" s="679"/>
      <c r="AN595" s="679"/>
    </row>
    <row r="596" ht="14.25" customHeight="1">
      <c r="AJ596" s="679"/>
      <c r="AK596" s="679"/>
      <c r="AL596" s="679"/>
      <c r="AM596" s="679"/>
      <c r="AN596" s="679"/>
    </row>
    <row r="597" ht="14.25" customHeight="1">
      <c r="AJ597" s="679"/>
      <c r="AK597" s="679"/>
      <c r="AL597" s="679"/>
      <c r="AM597" s="679"/>
      <c r="AN597" s="679"/>
    </row>
    <row r="598" ht="14.25" customHeight="1">
      <c r="AJ598" s="679"/>
      <c r="AK598" s="679"/>
      <c r="AL598" s="679"/>
      <c r="AM598" s="679"/>
      <c r="AN598" s="679"/>
    </row>
    <row r="599" ht="14.25" customHeight="1">
      <c r="AJ599" s="679"/>
      <c r="AK599" s="679"/>
      <c r="AL599" s="679"/>
      <c r="AM599" s="679"/>
      <c r="AN599" s="679"/>
    </row>
    <row r="600" ht="14.25" customHeight="1">
      <c r="AJ600" s="679"/>
      <c r="AK600" s="679"/>
      <c r="AL600" s="679"/>
      <c r="AM600" s="679"/>
      <c r="AN600" s="679"/>
    </row>
    <row r="601" ht="14.25" customHeight="1">
      <c r="AJ601" s="679"/>
      <c r="AK601" s="679"/>
      <c r="AL601" s="679"/>
      <c r="AM601" s="679"/>
      <c r="AN601" s="679"/>
    </row>
    <row r="602" ht="14.25" customHeight="1">
      <c r="AJ602" s="679"/>
      <c r="AK602" s="679"/>
      <c r="AL602" s="679"/>
      <c r="AM602" s="679"/>
      <c r="AN602" s="679"/>
    </row>
    <row r="603" ht="14.25" customHeight="1">
      <c r="AJ603" s="679"/>
      <c r="AK603" s="679"/>
      <c r="AL603" s="679"/>
      <c r="AM603" s="679"/>
      <c r="AN603" s="679"/>
    </row>
    <row r="604" ht="14.25" customHeight="1">
      <c r="AJ604" s="679"/>
      <c r="AK604" s="679"/>
      <c r="AL604" s="679"/>
      <c r="AM604" s="679"/>
      <c r="AN604" s="679"/>
    </row>
    <row r="605" ht="14.25" customHeight="1">
      <c r="AJ605" s="679"/>
      <c r="AK605" s="679"/>
      <c r="AL605" s="679"/>
      <c r="AM605" s="679"/>
      <c r="AN605" s="679"/>
    </row>
    <row r="606" ht="14.25" customHeight="1">
      <c r="AJ606" s="679"/>
      <c r="AK606" s="679"/>
      <c r="AL606" s="679"/>
      <c r="AM606" s="679"/>
      <c r="AN606" s="679"/>
    </row>
    <row r="607" ht="14.25" customHeight="1">
      <c r="AJ607" s="679"/>
      <c r="AK607" s="679"/>
      <c r="AL607" s="679"/>
      <c r="AM607" s="679"/>
      <c r="AN607" s="679"/>
    </row>
    <row r="608" ht="14.25" customHeight="1">
      <c r="AJ608" s="679"/>
      <c r="AK608" s="679"/>
      <c r="AL608" s="679"/>
      <c r="AM608" s="679"/>
      <c r="AN608" s="679"/>
    </row>
    <row r="609" ht="14.25" customHeight="1">
      <c r="AJ609" s="679"/>
      <c r="AK609" s="679"/>
      <c r="AL609" s="679"/>
      <c r="AM609" s="679"/>
      <c r="AN609" s="679"/>
    </row>
    <row r="610" ht="14.25" customHeight="1">
      <c r="AJ610" s="679"/>
      <c r="AK610" s="679"/>
      <c r="AL610" s="679"/>
      <c r="AM610" s="679"/>
      <c r="AN610" s="679"/>
    </row>
    <row r="611" ht="14.25" customHeight="1">
      <c r="AJ611" s="679"/>
      <c r="AK611" s="679"/>
      <c r="AL611" s="679"/>
      <c r="AM611" s="679"/>
      <c r="AN611" s="679"/>
    </row>
    <row r="612" ht="14.25" customHeight="1">
      <c r="AJ612" s="679"/>
      <c r="AK612" s="679"/>
      <c r="AL612" s="679"/>
      <c r="AM612" s="679"/>
      <c r="AN612" s="679"/>
    </row>
    <row r="613" ht="14.25" customHeight="1">
      <c r="AJ613" s="679"/>
      <c r="AK613" s="679"/>
      <c r="AL613" s="679"/>
      <c r="AM613" s="679"/>
      <c r="AN613" s="679"/>
    </row>
    <row r="614" ht="14.25" customHeight="1">
      <c r="AJ614" s="679"/>
      <c r="AK614" s="679"/>
      <c r="AL614" s="679"/>
      <c r="AM614" s="679"/>
      <c r="AN614" s="679"/>
    </row>
    <row r="615" ht="14.25" customHeight="1">
      <c r="AJ615" s="679"/>
      <c r="AK615" s="679"/>
      <c r="AL615" s="679"/>
      <c r="AM615" s="679"/>
      <c r="AN615" s="679"/>
    </row>
    <row r="616" ht="14.25" customHeight="1">
      <c r="AJ616" s="679"/>
      <c r="AK616" s="679"/>
      <c r="AL616" s="679"/>
      <c r="AM616" s="679"/>
      <c r="AN616" s="679"/>
    </row>
    <row r="617" ht="14.25" customHeight="1">
      <c r="AJ617" s="679"/>
      <c r="AK617" s="679"/>
      <c r="AL617" s="679"/>
      <c r="AM617" s="679"/>
      <c r="AN617" s="679"/>
    </row>
    <row r="618" ht="14.25" customHeight="1">
      <c r="AJ618" s="679"/>
      <c r="AK618" s="679"/>
      <c r="AL618" s="679"/>
      <c r="AM618" s="679"/>
      <c r="AN618" s="679"/>
    </row>
    <row r="619" ht="14.25" customHeight="1">
      <c r="AJ619" s="679"/>
      <c r="AK619" s="679"/>
      <c r="AL619" s="679"/>
      <c r="AM619" s="679"/>
      <c r="AN619" s="679"/>
    </row>
    <row r="620" ht="14.25" customHeight="1">
      <c r="AJ620" s="679"/>
      <c r="AK620" s="679"/>
      <c r="AL620" s="679"/>
      <c r="AM620" s="679"/>
      <c r="AN620" s="679"/>
    </row>
    <row r="621" ht="14.25" customHeight="1">
      <c r="AJ621" s="679"/>
      <c r="AK621" s="679"/>
      <c r="AL621" s="679"/>
      <c r="AM621" s="679"/>
      <c r="AN621" s="679"/>
    </row>
    <row r="622" ht="14.25" customHeight="1">
      <c r="AJ622" s="679"/>
      <c r="AK622" s="679"/>
      <c r="AL622" s="679"/>
      <c r="AM622" s="679"/>
      <c r="AN622" s="679"/>
    </row>
    <row r="623" ht="14.25" customHeight="1">
      <c r="AJ623" s="679"/>
      <c r="AK623" s="679"/>
      <c r="AL623" s="679"/>
      <c r="AM623" s="679"/>
      <c r="AN623" s="679"/>
    </row>
    <row r="624" ht="14.25" customHeight="1">
      <c r="AJ624" s="679"/>
      <c r="AK624" s="679"/>
      <c r="AL624" s="679"/>
      <c r="AM624" s="679"/>
      <c r="AN624" s="679"/>
    </row>
    <row r="625" ht="14.25" customHeight="1">
      <c r="AJ625" s="679"/>
      <c r="AK625" s="679"/>
      <c r="AL625" s="679"/>
      <c r="AM625" s="679"/>
      <c r="AN625" s="679"/>
    </row>
    <row r="626" ht="14.25" customHeight="1">
      <c r="AJ626" s="679"/>
      <c r="AK626" s="679"/>
      <c r="AL626" s="679"/>
      <c r="AM626" s="679"/>
      <c r="AN626" s="679"/>
    </row>
    <row r="627" ht="14.25" customHeight="1">
      <c r="AJ627" s="679"/>
      <c r="AK627" s="679"/>
      <c r="AL627" s="679"/>
      <c r="AM627" s="679"/>
      <c r="AN627" s="679"/>
    </row>
    <row r="628" ht="14.25" customHeight="1">
      <c r="AJ628" s="679"/>
      <c r="AK628" s="679"/>
      <c r="AL628" s="679"/>
      <c r="AM628" s="679"/>
      <c r="AN628" s="679"/>
    </row>
    <row r="629" ht="14.25" customHeight="1">
      <c r="AJ629" s="679"/>
      <c r="AK629" s="679"/>
      <c r="AL629" s="679"/>
      <c r="AM629" s="679"/>
      <c r="AN629" s="679"/>
    </row>
    <row r="630" ht="14.25" customHeight="1">
      <c r="AJ630" s="679"/>
      <c r="AK630" s="679"/>
      <c r="AL630" s="679"/>
      <c r="AM630" s="679"/>
      <c r="AN630" s="679"/>
    </row>
    <row r="631" ht="14.25" customHeight="1">
      <c r="AJ631" s="679"/>
      <c r="AK631" s="679"/>
      <c r="AL631" s="679"/>
      <c r="AM631" s="679"/>
      <c r="AN631" s="679"/>
    </row>
    <row r="632" ht="14.25" customHeight="1">
      <c r="AJ632" s="679"/>
      <c r="AK632" s="679"/>
      <c r="AL632" s="679"/>
      <c r="AM632" s="679"/>
      <c r="AN632" s="679"/>
    </row>
    <row r="633" ht="14.25" customHeight="1">
      <c r="AJ633" s="679"/>
      <c r="AK633" s="679"/>
      <c r="AL633" s="679"/>
      <c r="AM633" s="679"/>
      <c r="AN633" s="679"/>
    </row>
    <row r="634" ht="14.25" customHeight="1">
      <c r="AJ634" s="679"/>
      <c r="AK634" s="679"/>
      <c r="AL634" s="679"/>
      <c r="AM634" s="679"/>
      <c r="AN634" s="679"/>
    </row>
    <row r="635" ht="14.25" customHeight="1">
      <c r="AJ635" s="679"/>
      <c r="AK635" s="679"/>
      <c r="AL635" s="679"/>
      <c r="AM635" s="679"/>
      <c r="AN635" s="679"/>
    </row>
    <row r="636" ht="14.25" customHeight="1">
      <c r="AJ636" s="679"/>
      <c r="AK636" s="679"/>
      <c r="AL636" s="679"/>
      <c r="AM636" s="679"/>
      <c r="AN636" s="679"/>
    </row>
    <row r="637" ht="14.25" customHeight="1">
      <c r="AJ637" s="679"/>
      <c r="AK637" s="679"/>
      <c r="AL637" s="679"/>
      <c r="AM637" s="679"/>
      <c r="AN637" s="679"/>
    </row>
    <row r="638" ht="14.25" customHeight="1">
      <c r="AJ638" s="679"/>
      <c r="AK638" s="679"/>
      <c r="AL638" s="679"/>
      <c r="AM638" s="679"/>
      <c r="AN638" s="679"/>
    </row>
    <row r="639" ht="14.25" customHeight="1">
      <c r="AJ639" s="679"/>
      <c r="AK639" s="679"/>
      <c r="AL639" s="679"/>
      <c r="AM639" s="679"/>
      <c r="AN639" s="679"/>
    </row>
    <row r="640" ht="14.25" customHeight="1">
      <c r="AJ640" s="679"/>
      <c r="AK640" s="679"/>
      <c r="AL640" s="679"/>
      <c r="AM640" s="679"/>
      <c r="AN640" s="679"/>
    </row>
    <row r="641" ht="14.25" customHeight="1">
      <c r="AJ641" s="679"/>
      <c r="AK641" s="679"/>
      <c r="AL641" s="679"/>
      <c r="AM641" s="679"/>
      <c r="AN641" s="679"/>
    </row>
    <row r="642" ht="14.25" customHeight="1">
      <c r="AJ642" s="679"/>
      <c r="AK642" s="679"/>
      <c r="AL642" s="679"/>
      <c r="AM642" s="679"/>
      <c r="AN642" s="679"/>
    </row>
    <row r="643" ht="14.25" customHeight="1">
      <c r="AJ643" s="679"/>
      <c r="AK643" s="679"/>
      <c r="AL643" s="679"/>
      <c r="AM643" s="679"/>
      <c r="AN643" s="679"/>
    </row>
    <row r="644" ht="14.25" customHeight="1">
      <c r="AJ644" s="679"/>
      <c r="AK644" s="679"/>
      <c r="AL644" s="679"/>
      <c r="AM644" s="679"/>
      <c r="AN644" s="679"/>
    </row>
    <row r="645" ht="14.25" customHeight="1">
      <c r="AJ645" s="679"/>
      <c r="AK645" s="679"/>
      <c r="AL645" s="679"/>
      <c r="AM645" s="679"/>
      <c r="AN645" s="679"/>
    </row>
    <row r="646" ht="14.25" customHeight="1">
      <c r="AJ646" s="679"/>
      <c r="AK646" s="679"/>
      <c r="AL646" s="679"/>
      <c r="AM646" s="679"/>
      <c r="AN646" s="679"/>
    </row>
    <row r="647" ht="14.25" customHeight="1">
      <c r="AJ647" s="679"/>
      <c r="AK647" s="679"/>
      <c r="AL647" s="679"/>
      <c r="AM647" s="679"/>
      <c r="AN647" s="679"/>
    </row>
    <row r="648" ht="14.25" customHeight="1">
      <c r="AJ648" s="679"/>
      <c r="AK648" s="679"/>
      <c r="AL648" s="679"/>
      <c r="AM648" s="679"/>
      <c r="AN648" s="679"/>
    </row>
    <row r="649" ht="14.25" customHeight="1">
      <c r="AJ649" s="679"/>
      <c r="AK649" s="679"/>
      <c r="AL649" s="679"/>
      <c r="AM649" s="679"/>
      <c r="AN649" s="679"/>
    </row>
    <row r="650" ht="14.25" customHeight="1">
      <c r="AJ650" s="679"/>
      <c r="AK650" s="679"/>
      <c r="AL650" s="679"/>
      <c r="AM650" s="679"/>
      <c r="AN650" s="679"/>
    </row>
    <row r="651" ht="14.25" customHeight="1">
      <c r="AJ651" s="679"/>
      <c r="AK651" s="679"/>
      <c r="AL651" s="679"/>
      <c r="AM651" s="679"/>
      <c r="AN651" s="679"/>
    </row>
    <row r="652" ht="14.25" customHeight="1">
      <c r="AJ652" s="679"/>
      <c r="AK652" s="679"/>
      <c r="AL652" s="679"/>
      <c r="AM652" s="679"/>
      <c r="AN652" s="679"/>
    </row>
    <row r="653" ht="14.25" customHeight="1">
      <c r="AJ653" s="679"/>
      <c r="AK653" s="679"/>
      <c r="AL653" s="679"/>
      <c r="AM653" s="679"/>
      <c r="AN653" s="679"/>
    </row>
    <row r="654" ht="14.25" customHeight="1">
      <c r="AJ654" s="679"/>
      <c r="AK654" s="679"/>
      <c r="AL654" s="679"/>
      <c r="AM654" s="679"/>
      <c r="AN654" s="679"/>
    </row>
    <row r="655" ht="14.25" customHeight="1">
      <c r="AJ655" s="679"/>
      <c r="AK655" s="679"/>
      <c r="AL655" s="679"/>
      <c r="AM655" s="679"/>
      <c r="AN655" s="679"/>
    </row>
    <row r="656" ht="14.25" customHeight="1">
      <c r="AJ656" s="679"/>
      <c r="AK656" s="679"/>
      <c r="AL656" s="679"/>
      <c r="AM656" s="679"/>
      <c r="AN656" s="679"/>
    </row>
    <row r="657" ht="14.25" customHeight="1">
      <c r="AJ657" s="679"/>
      <c r="AK657" s="679"/>
      <c r="AL657" s="679"/>
      <c r="AM657" s="679"/>
      <c r="AN657" s="679"/>
    </row>
    <row r="658" ht="14.25" customHeight="1">
      <c r="AJ658" s="679"/>
      <c r="AK658" s="679"/>
      <c r="AL658" s="679"/>
      <c r="AM658" s="679"/>
      <c r="AN658" s="679"/>
    </row>
    <row r="659" ht="14.25" customHeight="1">
      <c r="AJ659" s="679"/>
      <c r="AK659" s="679"/>
      <c r="AL659" s="679"/>
      <c r="AM659" s="679"/>
      <c r="AN659" s="679"/>
    </row>
    <row r="660" ht="14.25" customHeight="1">
      <c r="AJ660" s="679"/>
      <c r="AK660" s="679"/>
      <c r="AL660" s="679"/>
      <c r="AM660" s="679"/>
      <c r="AN660" s="679"/>
    </row>
    <row r="661" ht="14.25" customHeight="1">
      <c r="AJ661" s="679"/>
      <c r="AK661" s="679"/>
      <c r="AL661" s="679"/>
      <c r="AM661" s="679"/>
      <c r="AN661" s="679"/>
    </row>
    <row r="662" ht="14.25" customHeight="1">
      <c r="AJ662" s="679"/>
      <c r="AK662" s="679"/>
      <c r="AL662" s="679"/>
      <c r="AM662" s="679"/>
      <c r="AN662" s="679"/>
    </row>
    <row r="663" ht="14.25" customHeight="1">
      <c r="AJ663" s="679"/>
      <c r="AK663" s="679"/>
      <c r="AL663" s="679"/>
      <c r="AM663" s="679"/>
      <c r="AN663" s="679"/>
    </row>
    <row r="664" ht="14.25" customHeight="1">
      <c r="AJ664" s="679"/>
      <c r="AK664" s="679"/>
      <c r="AL664" s="679"/>
      <c r="AM664" s="679"/>
      <c r="AN664" s="679"/>
    </row>
    <row r="665" ht="14.25" customHeight="1">
      <c r="AJ665" s="679"/>
      <c r="AK665" s="679"/>
      <c r="AL665" s="679"/>
      <c r="AM665" s="679"/>
      <c r="AN665" s="679"/>
    </row>
    <row r="666" ht="14.25" customHeight="1">
      <c r="AJ666" s="679"/>
      <c r="AK666" s="679"/>
      <c r="AL666" s="679"/>
      <c r="AM666" s="679"/>
      <c r="AN666" s="679"/>
    </row>
    <row r="667" ht="14.25" customHeight="1">
      <c r="AJ667" s="679"/>
      <c r="AK667" s="679"/>
      <c r="AL667" s="679"/>
      <c r="AM667" s="679"/>
      <c r="AN667" s="679"/>
    </row>
    <row r="668" ht="14.25" customHeight="1">
      <c r="AJ668" s="679"/>
      <c r="AK668" s="679"/>
      <c r="AL668" s="679"/>
      <c r="AM668" s="679"/>
      <c r="AN668" s="679"/>
    </row>
    <row r="669" ht="14.25" customHeight="1">
      <c r="AJ669" s="679"/>
      <c r="AK669" s="679"/>
      <c r="AL669" s="679"/>
      <c r="AM669" s="679"/>
      <c r="AN669" s="679"/>
    </row>
    <row r="670" ht="14.25" customHeight="1">
      <c r="AJ670" s="679"/>
      <c r="AK670" s="679"/>
      <c r="AL670" s="679"/>
      <c r="AM670" s="679"/>
      <c r="AN670" s="679"/>
    </row>
    <row r="671" ht="14.25" customHeight="1">
      <c r="AJ671" s="679"/>
      <c r="AK671" s="679"/>
      <c r="AL671" s="679"/>
      <c r="AM671" s="679"/>
      <c r="AN671" s="679"/>
    </row>
    <row r="672" ht="14.25" customHeight="1">
      <c r="AJ672" s="679"/>
      <c r="AK672" s="679"/>
      <c r="AL672" s="679"/>
      <c r="AM672" s="679"/>
      <c r="AN672" s="679"/>
    </row>
    <row r="673" ht="14.25" customHeight="1">
      <c r="AJ673" s="679"/>
      <c r="AK673" s="679"/>
      <c r="AL673" s="679"/>
      <c r="AM673" s="679"/>
      <c r="AN673" s="679"/>
    </row>
    <row r="674" ht="14.25" customHeight="1">
      <c r="AJ674" s="679"/>
      <c r="AK674" s="679"/>
      <c r="AL674" s="679"/>
      <c r="AM674" s="679"/>
      <c r="AN674" s="679"/>
    </row>
    <row r="675" ht="14.25" customHeight="1">
      <c r="AJ675" s="679"/>
      <c r="AK675" s="679"/>
      <c r="AL675" s="679"/>
      <c r="AM675" s="679"/>
      <c r="AN675" s="679"/>
    </row>
    <row r="676" ht="14.25" customHeight="1">
      <c r="AJ676" s="679"/>
      <c r="AK676" s="679"/>
      <c r="AL676" s="679"/>
      <c r="AM676" s="679"/>
      <c r="AN676" s="679"/>
    </row>
    <row r="677" ht="14.25" customHeight="1">
      <c r="AJ677" s="679"/>
      <c r="AK677" s="679"/>
      <c r="AL677" s="679"/>
      <c r="AM677" s="679"/>
      <c r="AN677" s="679"/>
    </row>
    <row r="678" ht="14.25" customHeight="1">
      <c r="AJ678" s="679"/>
      <c r="AK678" s="679"/>
      <c r="AL678" s="679"/>
      <c r="AM678" s="679"/>
      <c r="AN678" s="679"/>
    </row>
    <row r="679" ht="14.25" customHeight="1">
      <c r="AJ679" s="679"/>
      <c r="AK679" s="679"/>
      <c r="AL679" s="679"/>
      <c r="AM679" s="679"/>
      <c r="AN679" s="679"/>
    </row>
    <row r="680" ht="14.25" customHeight="1">
      <c r="AJ680" s="679"/>
      <c r="AK680" s="679"/>
      <c r="AL680" s="679"/>
      <c r="AM680" s="679"/>
      <c r="AN680" s="679"/>
    </row>
    <row r="681" ht="14.25" customHeight="1">
      <c r="AJ681" s="679"/>
      <c r="AK681" s="679"/>
      <c r="AL681" s="679"/>
      <c r="AM681" s="679"/>
      <c r="AN681" s="679"/>
    </row>
    <row r="682" ht="14.25" customHeight="1">
      <c r="AJ682" s="679"/>
      <c r="AK682" s="679"/>
      <c r="AL682" s="679"/>
      <c r="AM682" s="679"/>
      <c r="AN682" s="679"/>
    </row>
    <row r="683" ht="14.25" customHeight="1">
      <c r="AJ683" s="679"/>
      <c r="AK683" s="679"/>
      <c r="AL683" s="679"/>
      <c r="AM683" s="679"/>
      <c r="AN683" s="679"/>
    </row>
    <row r="684" ht="14.25" customHeight="1">
      <c r="AJ684" s="679"/>
      <c r="AK684" s="679"/>
      <c r="AL684" s="679"/>
      <c r="AM684" s="679"/>
      <c r="AN684" s="679"/>
    </row>
    <row r="685" ht="14.25" customHeight="1">
      <c r="AJ685" s="679"/>
      <c r="AK685" s="679"/>
      <c r="AL685" s="679"/>
      <c r="AM685" s="679"/>
      <c r="AN685" s="679"/>
    </row>
    <row r="686" ht="14.25" customHeight="1">
      <c r="AJ686" s="679"/>
      <c r="AK686" s="679"/>
      <c r="AL686" s="679"/>
      <c r="AM686" s="679"/>
      <c r="AN686" s="679"/>
    </row>
    <row r="687" ht="14.25" customHeight="1">
      <c r="AJ687" s="679"/>
      <c r="AK687" s="679"/>
      <c r="AL687" s="679"/>
      <c r="AM687" s="679"/>
      <c r="AN687" s="679"/>
    </row>
    <row r="688" ht="14.25" customHeight="1">
      <c r="AJ688" s="679"/>
      <c r="AK688" s="679"/>
      <c r="AL688" s="679"/>
      <c r="AM688" s="679"/>
      <c r="AN688" s="679"/>
    </row>
    <row r="689" ht="14.25" customHeight="1">
      <c r="AJ689" s="679"/>
      <c r="AK689" s="679"/>
      <c r="AL689" s="679"/>
      <c r="AM689" s="679"/>
      <c r="AN689" s="679"/>
    </row>
    <row r="690" ht="14.25" customHeight="1">
      <c r="AJ690" s="679"/>
      <c r="AK690" s="679"/>
      <c r="AL690" s="679"/>
      <c r="AM690" s="679"/>
      <c r="AN690" s="679"/>
    </row>
    <row r="691" ht="14.25" customHeight="1">
      <c r="AJ691" s="679"/>
      <c r="AK691" s="679"/>
      <c r="AL691" s="679"/>
      <c r="AM691" s="679"/>
      <c r="AN691" s="679"/>
    </row>
    <row r="692" ht="14.25" customHeight="1">
      <c r="AJ692" s="679"/>
      <c r="AK692" s="679"/>
      <c r="AL692" s="679"/>
      <c r="AM692" s="679"/>
      <c r="AN692" s="679"/>
    </row>
    <row r="693" ht="14.25" customHeight="1">
      <c r="AJ693" s="679"/>
      <c r="AK693" s="679"/>
      <c r="AL693" s="679"/>
      <c r="AM693" s="679"/>
      <c r="AN693" s="679"/>
    </row>
    <row r="694" ht="14.25" customHeight="1">
      <c r="AJ694" s="679"/>
      <c r="AK694" s="679"/>
      <c r="AL694" s="679"/>
      <c r="AM694" s="679"/>
      <c r="AN694" s="679"/>
    </row>
    <row r="695" ht="14.25" customHeight="1">
      <c r="AJ695" s="679"/>
      <c r="AK695" s="679"/>
      <c r="AL695" s="679"/>
      <c r="AM695" s="679"/>
      <c r="AN695" s="679"/>
    </row>
    <row r="696" ht="14.25" customHeight="1">
      <c r="AJ696" s="679"/>
      <c r="AK696" s="679"/>
      <c r="AL696" s="679"/>
      <c r="AM696" s="679"/>
      <c r="AN696" s="679"/>
    </row>
    <row r="697" ht="14.25" customHeight="1">
      <c r="AJ697" s="679"/>
      <c r="AK697" s="679"/>
      <c r="AL697" s="679"/>
      <c r="AM697" s="679"/>
      <c r="AN697" s="679"/>
    </row>
    <row r="698" ht="14.25" customHeight="1">
      <c r="AJ698" s="679"/>
      <c r="AK698" s="679"/>
      <c r="AL698" s="679"/>
      <c r="AM698" s="679"/>
      <c r="AN698" s="679"/>
    </row>
    <row r="699" ht="14.25" customHeight="1">
      <c r="AJ699" s="679"/>
      <c r="AK699" s="679"/>
      <c r="AL699" s="679"/>
      <c r="AM699" s="679"/>
      <c r="AN699" s="679"/>
    </row>
    <row r="700" ht="14.25" customHeight="1">
      <c r="AJ700" s="679"/>
      <c r="AK700" s="679"/>
      <c r="AL700" s="679"/>
      <c r="AM700" s="679"/>
      <c r="AN700" s="679"/>
    </row>
    <row r="701" ht="14.25" customHeight="1">
      <c r="AJ701" s="679"/>
      <c r="AK701" s="679"/>
      <c r="AL701" s="679"/>
      <c r="AM701" s="679"/>
      <c r="AN701" s="679"/>
    </row>
    <row r="702" ht="14.25" customHeight="1">
      <c r="AJ702" s="679"/>
      <c r="AK702" s="679"/>
      <c r="AL702" s="679"/>
      <c r="AM702" s="679"/>
      <c r="AN702" s="679"/>
    </row>
    <row r="703" ht="14.25" customHeight="1">
      <c r="AJ703" s="679"/>
      <c r="AK703" s="679"/>
      <c r="AL703" s="679"/>
      <c r="AM703" s="679"/>
      <c r="AN703" s="679"/>
    </row>
    <row r="704" ht="14.25" customHeight="1">
      <c r="AJ704" s="679"/>
      <c r="AK704" s="679"/>
      <c r="AL704" s="679"/>
      <c r="AM704" s="679"/>
      <c r="AN704" s="679"/>
    </row>
    <row r="705" ht="14.25" customHeight="1">
      <c r="AJ705" s="679"/>
      <c r="AK705" s="679"/>
      <c r="AL705" s="679"/>
      <c r="AM705" s="679"/>
      <c r="AN705" s="679"/>
    </row>
    <row r="706" ht="14.25" customHeight="1">
      <c r="AJ706" s="679"/>
      <c r="AK706" s="679"/>
      <c r="AL706" s="679"/>
      <c r="AM706" s="679"/>
      <c r="AN706" s="679"/>
    </row>
    <row r="707" ht="14.25" customHeight="1">
      <c r="AJ707" s="679"/>
      <c r="AK707" s="679"/>
      <c r="AL707" s="679"/>
      <c r="AM707" s="679"/>
      <c r="AN707" s="679"/>
    </row>
    <row r="708" ht="14.25" customHeight="1">
      <c r="AJ708" s="679"/>
      <c r="AK708" s="679"/>
      <c r="AL708" s="679"/>
      <c r="AM708" s="679"/>
      <c r="AN708" s="679"/>
    </row>
    <row r="709" ht="14.25" customHeight="1">
      <c r="AJ709" s="679"/>
      <c r="AK709" s="679"/>
      <c r="AL709" s="679"/>
      <c r="AM709" s="679"/>
      <c r="AN709" s="679"/>
    </row>
    <row r="710" ht="14.25" customHeight="1">
      <c r="AJ710" s="679"/>
      <c r="AK710" s="679"/>
      <c r="AL710" s="679"/>
      <c r="AM710" s="679"/>
      <c r="AN710" s="679"/>
    </row>
    <row r="711" ht="14.25" customHeight="1">
      <c r="AJ711" s="679"/>
      <c r="AK711" s="679"/>
      <c r="AL711" s="679"/>
      <c r="AM711" s="679"/>
      <c r="AN711" s="679"/>
    </row>
    <row r="712" ht="14.25" customHeight="1">
      <c r="AJ712" s="679"/>
      <c r="AK712" s="679"/>
      <c r="AL712" s="679"/>
      <c r="AM712" s="679"/>
      <c r="AN712" s="679"/>
    </row>
    <row r="713" ht="14.25" customHeight="1">
      <c r="AJ713" s="679"/>
      <c r="AK713" s="679"/>
      <c r="AL713" s="679"/>
      <c r="AM713" s="679"/>
      <c r="AN713" s="679"/>
    </row>
    <row r="714" ht="14.25" customHeight="1">
      <c r="AJ714" s="679"/>
      <c r="AK714" s="679"/>
      <c r="AL714" s="679"/>
      <c r="AM714" s="679"/>
      <c r="AN714" s="679"/>
    </row>
    <row r="715" ht="14.25" customHeight="1">
      <c r="AJ715" s="679"/>
      <c r="AK715" s="679"/>
      <c r="AL715" s="679"/>
      <c r="AM715" s="679"/>
      <c r="AN715" s="679"/>
    </row>
    <row r="716" ht="14.25" customHeight="1">
      <c r="AJ716" s="679"/>
      <c r="AK716" s="679"/>
      <c r="AL716" s="679"/>
      <c r="AM716" s="679"/>
      <c r="AN716" s="679"/>
    </row>
    <row r="717" ht="14.25" customHeight="1">
      <c r="AJ717" s="679"/>
      <c r="AK717" s="679"/>
      <c r="AL717" s="679"/>
      <c r="AM717" s="679"/>
      <c r="AN717" s="679"/>
    </row>
    <row r="718" ht="14.25" customHeight="1">
      <c r="AJ718" s="679"/>
      <c r="AK718" s="679"/>
      <c r="AL718" s="679"/>
      <c r="AM718" s="679"/>
      <c r="AN718" s="679"/>
    </row>
    <row r="719" ht="14.25" customHeight="1">
      <c r="AJ719" s="679"/>
      <c r="AK719" s="679"/>
      <c r="AL719" s="679"/>
      <c r="AM719" s="679"/>
      <c r="AN719" s="679"/>
    </row>
    <row r="720" ht="14.25" customHeight="1">
      <c r="AJ720" s="679"/>
      <c r="AK720" s="679"/>
      <c r="AL720" s="679"/>
      <c r="AM720" s="679"/>
      <c r="AN720" s="679"/>
    </row>
    <row r="721" ht="14.25" customHeight="1">
      <c r="AJ721" s="679"/>
      <c r="AK721" s="679"/>
      <c r="AL721" s="679"/>
      <c r="AM721" s="679"/>
      <c r="AN721" s="679"/>
    </row>
    <row r="722" ht="14.25" customHeight="1">
      <c r="AJ722" s="679"/>
      <c r="AK722" s="679"/>
      <c r="AL722" s="679"/>
      <c r="AM722" s="679"/>
      <c r="AN722" s="679"/>
    </row>
    <row r="723" ht="14.25" customHeight="1">
      <c r="AJ723" s="679"/>
      <c r="AK723" s="679"/>
      <c r="AL723" s="679"/>
      <c r="AM723" s="679"/>
      <c r="AN723" s="679"/>
    </row>
    <row r="724" ht="14.25" customHeight="1">
      <c r="AJ724" s="679"/>
      <c r="AK724" s="679"/>
      <c r="AL724" s="679"/>
      <c r="AM724" s="679"/>
      <c r="AN724" s="679"/>
    </row>
    <row r="725" ht="14.25" customHeight="1">
      <c r="AJ725" s="679"/>
      <c r="AK725" s="679"/>
      <c r="AL725" s="679"/>
      <c r="AM725" s="679"/>
      <c r="AN725" s="679"/>
    </row>
    <row r="726" ht="14.25" customHeight="1">
      <c r="AJ726" s="679"/>
      <c r="AK726" s="679"/>
      <c r="AL726" s="679"/>
      <c r="AM726" s="679"/>
      <c r="AN726" s="679"/>
    </row>
    <row r="727" ht="14.25" customHeight="1">
      <c r="AJ727" s="679"/>
      <c r="AK727" s="679"/>
      <c r="AL727" s="679"/>
      <c r="AM727" s="679"/>
      <c r="AN727" s="679"/>
    </row>
    <row r="728" ht="14.25" customHeight="1">
      <c r="AJ728" s="679"/>
      <c r="AK728" s="679"/>
      <c r="AL728" s="679"/>
      <c r="AM728" s="679"/>
      <c r="AN728" s="679"/>
    </row>
    <row r="729" ht="14.25" customHeight="1">
      <c r="AJ729" s="679"/>
      <c r="AK729" s="679"/>
      <c r="AL729" s="679"/>
      <c r="AM729" s="679"/>
      <c r="AN729" s="679"/>
    </row>
    <row r="730" ht="14.25" customHeight="1">
      <c r="AJ730" s="679"/>
      <c r="AK730" s="679"/>
      <c r="AL730" s="679"/>
      <c r="AM730" s="679"/>
      <c r="AN730" s="679"/>
    </row>
    <row r="731" ht="14.25" customHeight="1">
      <c r="AJ731" s="679"/>
      <c r="AK731" s="679"/>
      <c r="AL731" s="679"/>
      <c r="AM731" s="679"/>
      <c r="AN731" s="679"/>
    </row>
    <row r="732" ht="14.25" customHeight="1">
      <c r="AJ732" s="679"/>
      <c r="AK732" s="679"/>
      <c r="AL732" s="679"/>
      <c r="AM732" s="679"/>
      <c r="AN732" s="679"/>
    </row>
    <row r="733" ht="14.25" customHeight="1">
      <c r="AJ733" s="679"/>
      <c r="AK733" s="679"/>
      <c r="AL733" s="679"/>
      <c r="AM733" s="679"/>
      <c r="AN733" s="679"/>
    </row>
    <row r="734" ht="14.25" customHeight="1">
      <c r="AJ734" s="679"/>
      <c r="AK734" s="679"/>
      <c r="AL734" s="679"/>
      <c r="AM734" s="679"/>
      <c r="AN734" s="679"/>
    </row>
    <row r="735" ht="14.25" customHeight="1">
      <c r="AJ735" s="679"/>
      <c r="AK735" s="679"/>
      <c r="AL735" s="679"/>
      <c r="AM735" s="679"/>
      <c r="AN735" s="679"/>
    </row>
    <row r="736" ht="14.25" customHeight="1">
      <c r="AJ736" s="679"/>
      <c r="AK736" s="679"/>
      <c r="AL736" s="679"/>
      <c r="AM736" s="679"/>
      <c r="AN736" s="679"/>
    </row>
    <row r="737" ht="14.25" customHeight="1">
      <c r="AJ737" s="679"/>
      <c r="AK737" s="679"/>
      <c r="AL737" s="679"/>
      <c r="AM737" s="679"/>
      <c r="AN737" s="679"/>
    </row>
    <row r="738" ht="14.25" customHeight="1">
      <c r="AJ738" s="679"/>
      <c r="AK738" s="679"/>
      <c r="AL738" s="679"/>
      <c r="AM738" s="679"/>
      <c r="AN738" s="679"/>
    </row>
    <row r="739" ht="14.25" customHeight="1">
      <c r="AJ739" s="679"/>
      <c r="AK739" s="679"/>
      <c r="AL739" s="679"/>
      <c r="AM739" s="679"/>
      <c r="AN739" s="679"/>
    </row>
    <row r="740" ht="14.25" customHeight="1">
      <c r="AJ740" s="679"/>
      <c r="AK740" s="679"/>
      <c r="AL740" s="679"/>
      <c r="AM740" s="679"/>
      <c r="AN740" s="679"/>
    </row>
    <row r="741" ht="14.25" customHeight="1">
      <c r="AJ741" s="679"/>
      <c r="AK741" s="679"/>
      <c r="AL741" s="679"/>
      <c r="AM741" s="679"/>
      <c r="AN741" s="679"/>
    </row>
    <row r="742" ht="14.25" customHeight="1">
      <c r="AJ742" s="679"/>
      <c r="AK742" s="679"/>
      <c r="AL742" s="679"/>
      <c r="AM742" s="679"/>
      <c r="AN742" s="679"/>
    </row>
    <row r="743" ht="14.25" customHeight="1">
      <c r="AJ743" s="679"/>
      <c r="AK743" s="679"/>
      <c r="AL743" s="679"/>
      <c r="AM743" s="679"/>
      <c r="AN743" s="679"/>
    </row>
    <row r="744" ht="14.25" customHeight="1">
      <c r="AJ744" s="679"/>
      <c r="AK744" s="679"/>
      <c r="AL744" s="679"/>
      <c r="AM744" s="679"/>
      <c r="AN744" s="679"/>
    </row>
    <row r="745" ht="14.25" customHeight="1">
      <c r="AJ745" s="679"/>
      <c r="AK745" s="679"/>
      <c r="AL745" s="679"/>
      <c r="AM745" s="679"/>
      <c r="AN745" s="679"/>
    </row>
    <row r="746" ht="14.25" customHeight="1">
      <c r="AJ746" s="679"/>
      <c r="AK746" s="679"/>
      <c r="AL746" s="679"/>
      <c r="AM746" s="679"/>
      <c r="AN746" s="679"/>
    </row>
    <row r="747" ht="14.25" customHeight="1">
      <c r="AJ747" s="679"/>
      <c r="AK747" s="679"/>
      <c r="AL747" s="679"/>
      <c r="AM747" s="679"/>
      <c r="AN747" s="679"/>
    </row>
    <row r="748" ht="14.25" customHeight="1">
      <c r="AJ748" s="679"/>
      <c r="AK748" s="679"/>
      <c r="AL748" s="679"/>
      <c r="AM748" s="679"/>
      <c r="AN748" s="679"/>
    </row>
    <row r="749" ht="14.25" customHeight="1">
      <c r="AJ749" s="679"/>
      <c r="AK749" s="679"/>
      <c r="AL749" s="679"/>
      <c r="AM749" s="679"/>
      <c r="AN749" s="679"/>
    </row>
    <row r="750" ht="14.25" customHeight="1">
      <c r="AJ750" s="679"/>
      <c r="AK750" s="679"/>
      <c r="AL750" s="679"/>
      <c r="AM750" s="679"/>
      <c r="AN750" s="679"/>
    </row>
    <row r="751" ht="14.25" customHeight="1">
      <c r="AJ751" s="679"/>
      <c r="AK751" s="679"/>
      <c r="AL751" s="679"/>
      <c r="AM751" s="679"/>
      <c r="AN751" s="679"/>
    </row>
    <row r="752" ht="14.25" customHeight="1">
      <c r="AJ752" s="679"/>
      <c r="AK752" s="679"/>
      <c r="AL752" s="679"/>
      <c r="AM752" s="679"/>
      <c r="AN752" s="679"/>
    </row>
    <row r="753" ht="14.25" customHeight="1">
      <c r="AJ753" s="679"/>
      <c r="AK753" s="679"/>
      <c r="AL753" s="679"/>
      <c r="AM753" s="679"/>
      <c r="AN753" s="679"/>
    </row>
    <row r="754" ht="14.25" customHeight="1">
      <c r="AJ754" s="679"/>
      <c r="AK754" s="679"/>
      <c r="AL754" s="679"/>
      <c r="AM754" s="679"/>
      <c r="AN754" s="679"/>
    </row>
    <row r="755" ht="14.25" customHeight="1">
      <c r="AJ755" s="679"/>
      <c r="AK755" s="679"/>
      <c r="AL755" s="679"/>
      <c r="AM755" s="679"/>
      <c r="AN755" s="679"/>
    </row>
    <row r="756" ht="14.25" customHeight="1">
      <c r="AJ756" s="679"/>
      <c r="AK756" s="679"/>
      <c r="AL756" s="679"/>
      <c r="AM756" s="679"/>
      <c r="AN756" s="679"/>
    </row>
    <row r="757" ht="14.25" customHeight="1">
      <c r="AJ757" s="679"/>
      <c r="AK757" s="679"/>
      <c r="AL757" s="679"/>
      <c r="AM757" s="679"/>
      <c r="AN757" s="679"/>
    </row>
    <row r="758" ht="14.25" customHeight="1">
      <c r="AJ758" s="679"/>
      <c r="AK758" s="679"/>
      <c r="AL758" s="679"/>
      <c r="AM758" s="679"/>
      <c r="AN758" s="679"/>
    </row>
    <row r="759" ht="14.25" customHeight="1">
      <c r="AJ759" s="679"/>
      <c r="AK759" s="679"/>
      <c r="AL759" s="679"/>
      <c r="AM759" s="679"/>
      <c r="AN759" s="679"/>
    </row>
    <row r="760" ht="14.25" customHeight="1">
      <c r="AJ760" s="679"/>
      <c r="AK760" s="679"/>
      <c r="AL760" s="679"/>
      <c r="AM760" s="679"/>
      <c r="AN760" s="679"/>
    </row>
    <row r="761" ht="14.25" customHeight="1">
      <c r="AJ761" s="679"/>
      <c r="AK761" s="679"/>
      <c r="AL761" s="679"/>
      <c r="AM761" s="679"/>
      <c r="AN761" s="679"/>
    </row>
    <row r="762" ht="14.25" customHeight="1">
      <c r="AJ762" s="679"/>
      <c r="AK762" s="679"/>
      <c r="AL762" s="679"/>
      <c r="AM762" s="679"/>
      <c r="AN762" s="679"/>
    </row>
    <row r="763" ht="14.25" customHeight="1">
      <c r="AJ763" s="679"/>
      <c r="AK763" s="679"/>
      <c r="AL763" s="679"/>
      <c r="AM763" s="679"/>
      <c r="AN763" s="679"/>
    </row>
    <row r="764" ht="14.25" customHeight="1">
      <c r="AJ764" s="679"/>
      <c r="AK764" s="679"/>
      <c r="AL764" s="679"/>
      <c r="AM764" s="679"/>
      <c r="AN764" s="679"/>
    </row>
    <row r="765" ht="14.25" customHeight="1">
      <c r="AJ765" s="679"/>
      <c r="AK765" s="679"/>
      <c r="AL765" s="679"/>
      <c r="AM765" s="679"/>
      <c r="AN765" s="679"/>
    </row>
    <row r="766" ht="14.25" customHeight="1">
      <c r="AJ766" s="679"/>
      <c r="AK766" s="679"/>
      <c r="AL766" s="679"/>
      <c r="AM766" s="679"/>
      <c r="AN766" s="679"/>
    </row>
    <row r="767" ht="14.25" customHeight="1">
      <c r="AJ767" s="679"/>
      <c r="AK767" s="679"/>
      <c r="AL767" s="679"/>
      <c r="AM767" s="679"/>
      <c r="AN767" s="679"/>
    </row>
    <row r="768" ht="14.25" customHeight="1">
      <c r="AJ768" s="679"/>
      <c r="AK768" s="679"/>
      <c r="AL768" s="679"/>
      <c r="AM768" s="679"/>
      <c r="AN768" s="679"/>
    </row>
    <row r="769" ht="14.25" customHeight="1">
      <c r="AJ769" s="679"/>
      <c r="AK769" s="679"/>
      <c r="AL769" s="679"/>
      <c r="AM769" s="679"/>
      <c r="AN769" s="679"/>
    </row>
    <row r="770" ht="14.25" customHeight="1">
      <c r="AJ770" s="679"/>
      <c r="AK770" s="679"/>
      <c r="AL770" s="679"/>
      <c r="AM770" s="679"/>
      <c r="AN770" s="679"/>
    </row>
    <row r="771" ht="14.25" customHeight="1">
      <c r="AJ771" s="679"/>
      <c r="AK771" s="679"/>
      <c r="AL771" s="679"/>
      <c r="AM771" s="679"/>
      <c r="AN771" s="679"/>
    </row>
    <row r="772" ht="14.25" customHeight="1">
      <c r="AJ772" s="679"/>
      <c r="AK772" s="679"/>
      <c r="AL772" s="679"/>
      <c r="AM772" s="679"/>
      <c r="AN772" s="679"/>
    </row>
    <row r="773" ht="14.25" customHeight="1">
      <c r="AJ773" s="679"/>
      <c r="AK773" s="679"/>
      <c r="AL773" s="679"/>
      <c r="AM773" s="679"/>
      <c r="AN773" s="679"/>
    </row>
    <row r="774" ht="14.25" customHeight="1">
      <c r="AJ774" s="679"/>
      <c r="AK774" s="679"/>
      <c r="AL774" s="679"/>
      <c r="AM774" s="679"/>
      <c r="AN774" s="679"/>
    </row>
    <row r="775" ht="14.25" customHeight="1">
      <c r="AJ775" s="679"/>
      <c r="AK775" s="679"/>
      <c r="AL775" s="679"/>
      <c r="AM775" s="679"/>
      <c r="AN775" s="679"/>
    </row>
    <row r="776" ht="14.25" customHeight="1">
      <c r="AJ776" s="679"/>
      <c r="AK776" s="679"/>
      <c r="AL776" s="679"/>
      <c r="AM776" s="679"/>
      <c r="AN776" s="679"/>
    </row>
    <row r="777" ht="14.25" customHeight="1">
      <c r="AJ777" s="679"/>
      <c r="AK777" s="679"/>
      <c r="AL777" s="679"/>
      <c r="AM777" s="679"/>
      <c r="AN777" s="679"/>
    </row>
    <row r="778" ht="14.25" customHeight="1">
      <c r="AJ778" s="679"/>
      <c r="AK778" s="679"/>
      <c r="AL778" s="679"/>
      <c r="AM778" s="679"/>
      <c r="AN778" s="679"/>
    </row>
    <row r="779" ht="14.25" customHeight="1">
      <c r="AJ779" s="679"/>
      <c r="AK779" s="679"/>
      <c r="AL779" s="679"/>
      <c r="AM779" s="679"/>
      <c r="AN779" s="679"/>
    </row>
    <row r="780" ht="14.25" customHeight="1">
      <c r="AJ780" s="679"/>
      <c r="AK780" s="679"/>
      <c r="AL780" s="679"/>
      <c r="AM780" s="679"/>
      <c r="AN780" s="679"/>
    </row>
    <row r="781" ht="14.25" customHeight="1">
      <c r="AJ781" s="679"/>
      <c r="AK781" s="679"/>
      <c r="AL781" s="679"/>
      <c r="AM781" s="679"/>
      <c r="AN781" s="679"/>
    </row>
    <row r="782" ht="14.25" customHeight="1">
      <c r="AJ782" s="679"/>
      <c r="AK782" s="679"/>
      <c r="AL782" s="679"/>
      <c r="AM782" s="679"/>
      <c r="AN782" s="679"/>
    </row>
    <row r="783" ht="14.25" customHeight="1">
      <c r="AJ783" s="679"/>
      <c r="AK783" s="679"/>
      <c r="AL783" s="679"/>
      <c r="AM783" s="679"/>
      <c r="AN783" s="679"/>
    </row>
    <row r="784" ht="14.25" customHeight="1">
      <c r="AJ784" s="679"/>
      <c r="AK784" s="679"/>
      <c r="AL784" s="679"/>
      <c r="AM784" s="679"/>
      <c r="AN784" s="679"/>
    </row>
    <row r="785" ht="14.25" customHeight="1">
      <c r="AJ785" s="679"/>
      <c r="AK785" s="679"/>
      <c r="AL785" s="679"/>
      <c r="AM785" s="679"/>
      <c r="AN785" s="679"/>
    </row>
    <row r="786" ht="14.25" customHeight="1">
      <c r="AJ786" s="679"/>
      <c r="AK786" s="679"/>
      <c r="AL786" s="679"/>
      <c r="AM786" s="679"/>
      <c r="AN786" s="679"/>
    </row>
    <row r="787" ht="14.25" customHeight="1">
      <c r="AJ787" s="679"/>
      <c r="AK787" s="679"/>
      <c r="AL787" s="679"/>
      <c r="AM787" s="679"/>
      <c r="AN787" s="679"/>
    </row>
    <row r="788" ht="14.25" customHeight="1">
      <c r="AJ788" s="679"/>
      <c r="AK788" s="679"/>
      <c r="AL788" s="679"/>
      <c r="AM788" s="679"/>
      <c r="AN788" s="679"/>
    </row>
    <row r="789" ht="14.25" customHeight="1">
      <c r="AJ789" s="679"/>
      <c r="AK789" s="679"/>
      <c r="AL789" s="679"/>
      <c r="AM789" s="679"/>
      <c r="AN789" s="679"/>
    </row>
    <row r="790" ht="14.25" customHeight="1">
      <c r="AJ790" s="679"/>
      <c r="AK790" s="679"/>
      <c r="AL790" s="679"/>
      <c r="AM790" s="679"/>
      <c r="AN790" s="679"/>
    </row>
    <row r="791" ht="14.25" customHeight="1">
      <c r="AJ791" s="679"/>
      <c r="AK791" s="679"/>
      <c r="AL791" s="679"/>
      <c r="AM791" s="679"/>
      <c r="AN791" s="679"/>
    </row>
    <row r="792" ht="14.25" customHeight="1">
      <c r="AJ792" s="679"/>
      <c r="AK792" s="679"/>
      <c r="AL792" s="679"/>
      <c r="AM792" s="679"/>
      <c r="AN792" s="679"/>
    </row>
    <row r="793" ht="14.25" customHeight="1">
      <c r="AJ793" s="679"/>
      <c r="AK793" s="679"/>
      <c r="AL793" s="679"/>
      <c r="AM793" s="679"/>
      <c r="AN793" s="679"/>
    </row>
    <row r="794" ht="14.25" customHeight="1">
      <c r="AJ794" s="679"/>
      <c r="AK794" s="679"/>
      <c r="AL794" s="679"/>
      <c r="AM794" s="679"/>
      <c r="AN794" s="679"/>
    </row>
    <row r="795" ht="14.25" customHeight="1">
      <c r="AJ795" s="679"/>
      <c r="AK795" s="679"/>
      <c r="AL795" s="679"/>
      <c r="AM795" s="679"/>
      <c r="AN795" s="679"/>
    </row>
    <row r="796" ht="14.25" customHeight="1">
      <c r="AJ796" s="679"/>
      <c r="AK796" s="679"/>
      <c r="AL796" s="679"/>
      <c r="AM796" s="679"/>
      <c r="AN796" s="679"/>
    </row>
    <row r="797" ht="14.25" customHeight="1">
      <c r="AJ797" s="679"/>
      <c r="AK797" s="679"/>
      <c r="AL797" s="679"/>
      <c r="AM797" s="679"/>
      <c r="AN797" s="679"/>
    </row>
    <row r="798" ht="14.25" customHeight="1">
      <c r="AJ798" s="679"/>
      <c r="AK798" s="679"/>
      <c r="AL798" s="679"/>
      <c r="AM798" s="679"/>
      <c r="AN798" s="679"/>
    </row>
    <row r="799" ht="14.25" customHeight="1">
      <c r="AJ799" s="679"/>
      <c r="AK799" s="679"/>
      <c r="AL799" s="679"/>
      <c r="AM799" s="679"/>
      <c r="AN799" s="679"/>
    </row>
    <row r="800" ht="14.25" customHeight="1">
      <c r="AJ800" s="679"/>
      <c r="AK800" s="679"/>
      <c r="AL800" s="679"/>
      <c r="AM800" s="679"/>
      <c r="AN800" s="679"/>
    </row>
    <row r="801" ht="14.25" customHeight="1">
      <c r="AJ801" s="679"/>
      <c r="AK801" s="679"/>
      <c r="AL801" s="679"/>
      <c r="AM801" s="679"/>
      <c r="AN801" s="679"/>
    </row>
    <row r="802" ht="14.25" customHeight="1">
      <c r="AJ802" s="679"/>
      <c r="AK802" s="679"/>
      <c r="AL802" s="679"/>
      <c r="AM802" s="679"/>
      <c r="AN802" s="679"/>
    </row>
    <row r="803" ht="14.25" customHeight="1">
      <c r="AJ803" s="679"/>
      <c r="AK803" s="679"/>
      <c r="AL803" s="679"/>
      <c r="AM803" s="679"/>
      <c r="AN803" s="679"/>
    </row>
    <row r="804" ht="14.25" customHeight="1">
      <c r="AJ804" s="679"/>
      <c r="AK804" s="679"/>
      <c r="AL804" s="679"/>
      <c r="AM804" s="679"/>
      <c r="AN804" s="679"/>
    </row>
    <row r="805" ht="14.25" customHeight="1">
      <c r="AJ805" s="679"/>
      <c r="AK805" s="679"/>
      <c r="AL805" s="679"/>
      <c r="AM805" s="679"/>
      <c r="AN805" s="679"/>
    </row>
    <row r="806" ht="14.25" customHeight="1">
      <c r="AJ806" s="679"/>
      <c r="AK806" s="679"/>
      <c r="AL806" s="679"/>
      <c r="AM806" s="679"/>
      <c r="AN806" s="679"/>
    </row>
    <row r="807" ht="14.25" customHeight="1">
      <c r="AJ807" s="679"/>
      <c r="AK807" s="679"/>
      <c r="AL807" s="679"/>
      <c r="AM807" s="679"/>
      <c r="AN807" s="679"/>
    </row>
    <row r="808" ht="14.25" customHeight="1">
      <c r="AJ808" s="679"/>
      <c r="AK808" s="679"/>
      <c r="AL808" s="679"/>
      <c r="AM808" s="679"/>
      <c r="AN808" s="679"/>
    </row>
    <row r="809" ht="14.25" customHeight="1">
      <c r="AJ809" s="679"/>
      <c r="AK809" s="679"/>
      <c r="AL809" s="679"/>
      <c r="AM809" s="679"/>
      <c r="AN809" s="679"/>
    </row>
    <row r="810" ht="14.25" customHeight="1">
      <c r="AJ810" s="679"/>
      <c r="AK810" s="679"/>
      <c r="AL810" s="679"/>
      <c r="AM810" s="679"/>
      <c r="AN810" s="679"/>
    </row>
    <row r="811" ht="14.25" customHeight="1">
      <c r="AJ811" s="679"/>
      <c r="AK811" s="679"/>
      <c r="AL811" s="679"/>
      <c r="AM811" s="679"/>
      <c r="AN811" s="679"/>
    </row>
    <row r="812" ht="14.25" customHeight="1">
      <c r="AJ812" s="679"/>
      <c r="AK812" s="679"/>
      <c r="AL812" s="679"/>
      <c r="AM812" s="679"/>
      <c r="AN812" s="679"/>
    </row>
    <row r="813" ht="14.25" customHeight="1">
      <c r="AJ813" s="679"/>
      <c r="AK813" s="679"/>
      <c r="AL813" s="679"/>
      <c r="AM813" s="679"/>
      <c r="AN813" s="679"/>
    </row>
    <row r="814" ht="14.25" customHeight="1">
      <c r="AJ814" s="679"/>
      <c r="AK814" s="679"/>
      <c r="AL814" s="679"/>
      <c r="AM814" s="679"/>
      <c r="AN814" s="679"/>
    </row>
    <row r="815" ht="14.25" customHeight="1">
      <c r="AJ815" s="679"/>
      <c r="AK815" s="679"/>
      <c r="AL815" s="679"/>
      <c r="AM815" s="679"/>
      <c r="AN815" s="679"/>
    </row>
    <row r="816" ht="14.25" customHeight="1">
      <c r="AJ816" s="679"/>
      <c r="AK816" s="679"/>
      <c r="AL816" s="679"/>
      <c r="AM816" s="679"/>
      <c r="AN816" s="679"/>
    </row>
    <row r="817" ht="14.25" customHeight="1">
      <c r="AJ817" s="679"/>
      <c r="AK817" s="679"/>
      <c r="AL817" s="679"/>
      <c r="AM817" s="679"/>
      <c r="AN817" s="679"/>
    </row>
    <row r="818" ht="14.25" customHeight="1">
      <c r="AJ818" s="679"/>
      <c r="AK818" s="679"/>
      <c r="AL818" s="679"/>
      <c r="AM818" s="679"/>
      <c r="AN818" s="679"/>
    </row>
    <row r="819" ht="14.25" customHeight="1">
      <c r="AJ819" s="679"/>
      <c r="AK819" s="679"/>
      <c r="AL819" s="679"/>
      <c r="AM819" s="679"/>
      <c r="AN819" s="679"/>
    </row>
    <row r="820" ht="14.25" customHeight="1">
      <c r="AJ820" s="679"/>
      <c r="AK820" s="679"/>
      <c r="AL820" s="679"/>
      <c r="AM820" s="679"/>
      <c r="AN820" s="679"/>
    </row>
    <row r="821" ht="14.25" customHeight="1">
      <c r="AJ821" s="679"/>
      <c r="AK821" s="679"/>
      <c r="AL821" s="679"/>
      <c r="AM821" s="679"/>
      <c r="AN821" s="679"/>
    </row>
    <row r="822" ht="14.25" customHeight="1">
      <c r="AJ822" s="679"/>
      <c r="AK822" s="679"/>
      <c r="AL822" s="679"/>
      <c r="AM822" s="679"/>
      <c r="AN822" s="679"/>
    </row>
    <row r="823" ht="14.25" customHeight="1">
      <c r="AJ823" s="679"/>
      <c r="AK823" s="679"/>
      <c r="AL823" s="679"/>
      <c r="AM823" s="679"/>
      <c r="AN823" s="679"/>
    </row>
    <row r="824" ht="14.25" customHeight="1">
      <c r="AJ824" s="679"/>
      <c r="AK824" s="679"/>
      <c r="AL824" s="679"/>
      <c r="AM824" s="679"/>
      <c r="AN824" s="679"/>
    </row>
    <row r="825" ht="14.25" customHeight="1">
      <c r="AJ825" s="679"/>
      <c r="AK825" s="679"/>
      <c r="AL825" s="679"/>
      <c r="AM825" s="679"/>
      <c r="AN825" s="679"/>
    </row>
    <row r="826" ht="14.25" customHeight="1">
      <c r="AJ826" s="679"/>
      <c r="AK826" s="679"/>
      <c r="AL826" s="679"/>
      <c r="AM826" s="679"/>
      <c r="AN826" s="679"/>
    </row>
    <row r="827" ht="14.25" customHeight="1">
      <c r="AJ827" s="679"/>
      <c r="AK827" s="679"/>
      <c r="AL827" s="679"/>
      <c r="AM827" s="679"/>
      <c r="AN827" s="679"/>
    </row>
    <row r="828" ht="14.25" customHeight="1">
      <c r="AJ828" s="679"/>
      <c r="AK828" s="679"/>
      <c r="AL828" s="679"/>
      <c r="AM828" s="679"/>
      <c r="AN828" s="679"/>
    </row>
    <row r="829" ht="14.25" customHeight="1">
      <c r="AJ829" s="679"/>
      <c r="AK829" s="679"/>
      <c r="AL829" s="679"/>
      <c r="AM829" s="679"/>
      <c r="AN829" s="679"/>
    </row>
    <row r="830" ht="14.25" customHeight="1">
      <c r="AJ830" s="679"/>
      <c r="AK830" s="679"/>
      <c r="AL830" s="679"/>
      <c r="AM830" s="679"/>
      <c r="AN830" s="679"/>
    </row>
    <row r="831" ht="14.25" customHeight="1">
      <c r="AJ831" s="679"/>
      <c r="AK831" s="679"/>
      <c r="AL831" s="679"/>
      <c r="AM831" s="679"/>
      <c r="AN831" s="679"/>
    </row>
    <row r="832" ht="14.25" customHeight="1">
      <c r="AJ832" s="679"/>
      <c r="AK832" s="679"/>
      <c r="AL832" s="679"/>
      <c r="AM832" s="679"/>
      <c r="AN832" s="679"/>
    </row>
    <row r="833" ht="14.25" customHeight="1">
      <c r="AJ833" s="679"/>
      <c r="AK833" s="679"/>
      <c r="AL833" s="679"/>
      <c r="AM833" s="679"/>
      <c r="AN833" s="679"/>
    </row>
    <row r="834" ht="14.25" customHeight="1">
      <c r="AJ834" s="679"/>
      <c r="AK834" s="679"/>
      <c r="AL834" s="679"/>
      <c r="AM834" s="679"/>
      <c r="AN834" s="679"/>
    </row>
    <row r="835" ht="14.25" customHeight="1">
      <c r="AJ835" s="679"/>
      <c r="AK835" s="679"/>
      <c r="AL835" s="679"/>
      <c r="AM835" s="679"/>
      <c r="AN835" s="679"/>
    </row>
    <row r="836" ht="14.25" customHeight="1">
      <c r="AJ836" s="679"/>
      <c r="AK836" s="679"/>
      <c r="AL836" s="679"/>
      <c r="AM836" s="679"/>
      <c r="AN836" s="679"/>
    </row>
    <row r="837" ht="14.25" customHeight="1">
      <c r="AJ837" s="679"/>
      <c r="AK837" s="679"/>
      <c r="AL837" s="679"/>
      <c r="AM837" s="679"/>
      <c r="AN837" s="679"/>
    </row>
    <row r="838" ht="14.25" customHeight="1">
      <c r="AJ838" s="679"/>
      <c r="AK838" s="679"/>
      <c r="AL838" s="679"/>
      <c r="AM838" s="679"/>
      <c r="AN838" s="679"/>
    </row>
    <row r="839" ht="14.25" customHeight="1">
      <c r="AJ839" s="679"/>
      <c r="AK839" s="679"/>
      <c r="AL839" s="679"/>
      <c r="AM839" s="679"/>
      <c r="AN839" s="679"/>
    </row>
    <row r="840" ht="14.25" customHeight="1">
      <c r="AJ840" s="679"/>
      <c r="AK840" s="679"/>
      <c r="AL840" s="679"/>
      <c r="AM840" s="679"/>
      <c r="AN840" s="679"/>
    </row>
    <row r="841" ht="14.25" customHeight="1">
      <c r="AJ841" s="679"/>
      <c r="AK841" s="679"/>
      <c r="AL841" s="679"/>
      <c r="AM841" s="679"/>
      <c r="AN841" s="679"/>
    </row>
    <row r="842" ht="14.25" customHeight="1">
      <c r="AJ842" s="679"/>
      <c r="AK842" s="679"/>
      <c r="AL842" s="679"/>
      <c r="AM842" s="679"/>
      <c r="AN842" s="679"/>
    </row>
    <row r="843" ht="14.25" customHeight="1">
      <c r="AJ843" s="679"/>
      <c r="AK843" s="679"/>
      <c r="AL843" s="679"/>
      <c r="AM843" s="679"/>
      <c r="AN843" s="679"/>
    </row>
    <row r="844" ht="14.25" customHeight="1">
      <c r="AJ844" s="679"/>
      <c r="AK844" s="679"/>
      <c r="AL844" s="679"/>
      <c r="AM844" s="679"/>
      <c r="AN844" s="679"/>
    </row>
    <row r="845" ht="14.25" customHeight="1">
      <c r="AJ845" s="679"/>
      <c r="AK845" s="679"/>
      <c r="AL845" s="679"/>
      <c r="AM845" s="679"/>
      <c r="AN845" s="679"/>
    </row>
    <row r="846" ht="14.25" customHeight="1">
      <c r="AJ846" s="679"/>
      <c r="AK846" s="679"/>
      <c r="AL846" s="679"/>
      <c r="AM846" s="679"/>
      <c r="AN846" s="679"/>
    </row>
    <row r="847" ht="14.25" customHeight="1">
      <c r="AJ847" s="679"/>
      <c r="AK847" s="679"/>
      <c r="AL847" s="679"/>
      <c r="AM847" s="679"/>
      <c r="AN847" s="679"/>
    </row>
    <row r="848" ht="14.25" customHeight="1">
      <c r="AJ848" s="679"/>
      <c r="AK848" s="679"/>
      <c r="AL848" s="679"/>
      <c r="AM848" s="679"/>
      <c r="AN848" s="679"/>
    </row>
    <row r="849" ht="14.25" customHeight="1">
      <c r="AJ849" s="679"/>
      <c r="AK849" s="679"/>
      <c r="AL849" s="679"/>
      <c r="AM849" s="679"/>
      <c r="AN849" s="679"/>
    </row>
    <row r="850" ht="14.25" customHeight="1">
      <c r="AJ850" s="679"/>
      <c r="AK850" s="679"/>
      <c r="AL850" s="679"/>
      <c r="AM850" s="679"/>
      <c r="AN850" s="679"/>
    </row>
    <row r="851" ht="14.25" customHeight="1">
      <c r="AJ851" s="679"/>
      <c r="AK851" s="679"/>
      <c r="AL851" s="679"/>
      <c r="AM851" s="679"/>
      <c r="AN851" s="679"/>
    </row>
    <row r="852" ht="14.25" customHeight="1">
      <c r="AJ852" s="679"/>
      <c r="AK852" s="679"/>
      <c r="AL852" s="679"/>
      <c r="AM852" s="679"/>
      <c r="AN852" s="679"/>
    </row>
    <row r="853" ht="14.25" customHeight="1">
      <c r="AJ853" s="679"/>
      <c r="AK853" s="679"/>
      <c r="AL853" s="679"/>
      <c r="AM853" s="679"/>
      <c r="AN853" s="679"/>
    </row>
    <row r="854" ht="14.25" customHeight="1">
      <c r="AJ854" s="679"/>
      <c r="AK854" s="679"/>
      <c r="AL854" s="679"/>
      <c r="AM854" s="679"/>
      <c r="AN854" s="679"/>
    </row>
    <row r="855" ht="14.25" customHeight="1">
      <c r="AJ855" s="679"/>
      <c r="AK855" s="679"/>
      <c r="AL855" s="679"/>
      <c r="AM855" s="679"/>
      <c r="AN855" s="679"/>
    </row>
    <row r="856" ht="14.25" customHeight="1">
      <c r="AJ856" s="679"/>
      <c r="AK856" s="679"/>
      <c r="AL856" s="679"/>
      <c r="AM856" s="679"/>
      <c r="AN856" s="679"/>
    </row>
    <row r="857" ht="14.25" customHeight="1">
      <c r="AJ857" s="679"/>
      <c r="AK857" s="679"/>
      <c r="AL857" s="679"/>
      <c r="AM857" s="679"/>
      <c r="AN857" s="679"/>
    </row>
    <row r="858" ht="14.25" customHeight="1">
      <c r="AJ858" s="679"/>
      <c r="AK858" s="679"/>
      <c r="AL858" s="679"/>
      <c r="AM858" s="679"/>
      <c r="AN858" s="679"/>
    </row>
    <row r="859" ht="14.25" customHeight="1">
      <c r="AJ859" s="679"/>
      <c r="AK859" s="679"/>
      <c r="AL859" s="679"/>
      <c r="AM859" s="679"/>
      <c r="AN859" s="679"/>
    </row>
    <row r="860" ht="14.25" customHeight="1">
      <c r="AJ860" s="679"/>
      <c r="AK860" s="679"/>
      <c r="AL860" s="679"/>
      <c r="AM860" s="679"/>
      <c r="AN860" s="679"/>
    </row>
    <row r="861" ht="14.25" customHeight="1">
      <c r="AJ861" s="679"/>
      <c r="AK861" s="679"/>
      <c r="AL861" s="679"/>
      <c r="AM861" s="679"/>
      <c r="AN861" s="679"/>
    </row>
    <row r="862" ht="14.25" customHeight="1">
      <c r="AJ862" s="679"/>
      <c r="AK862" s="679"/>
      <c r="AL862" s="679"/>
      <c r="AM862" s="679"/>
      <c r="AN862" s="679"/>
    </row>
    <row r="863" ht="14.25" customHeight="1">
      <c r="AJ863" s="679"/>
      <c r="AK863" s="679"/>
      <c r="AL863" s="679"/>
      <c r="AM863" s="679"/>
      <c r="AN863" s="679"/>
    </row>
    <row r="864" ht="14.25" customHeight="1">
      <c r="AJ864" s="679"/>
      <c r="AK864" s="679"/>
      <c r="AL864" s="679"/>
      <c r="AM864" s="679"/>
      <c r="AN864" s="679"/>
    </row>
    <row r="865" ht="14.25" customHeight="1">
      <c r="AJ865" s="679"/>
      <c r="AK865" s="679"/>
      <c r="AL865" s="679"/>
      <c r="AM865" s="679"/>
      <c r="AN865" s="679"/>
    </row>
    <row r="866" ht="14.25" customHeight="1">
      <c r="AJ866" s="679"/>
      <c r="AK866" s="679"/>
      <c r="AL866" s="679"/>
      <c r="AM866" s="679"/>
      <c r="AN866" s="679"/>
    </row>
    <row r="867" ht="14.25" customHeight="1">
      <c r="AJ867" s="679"/>
      <c r="AK867" s="679"/>
      <c r="AL867" s="679"/>
      <c r="AM867" s="679"/>
      <c r="AN867" s="679"/>
    </row>
    <row r="868" ht="14.25" customHeight="1">
      <c r="AJ868" s="679"/>
      <c r="AK868" s="679"/>
      <c r="AL868" s="679"/>
      <c r="AM868" s="679"/>
      <c r="AN868" s="679"/>
    </row>
    <row r="869" ht="14.25" customHeight="1">
      <c r="AJ869" s="679"/>
      <c r="AK869" s="679"/>
      <c r="AL869" s="679"/>
      <c r="AM869" s="679"/>
      <c r="AN869" s="679"/>
    </row>
    <row r="870" ht="14.25" customHeight="1">
      <c r="AJ870" s="679"/>
      <c r="AK870" s="679"/>
      <c r="AL870" s="679"/>
      <c r="AM870" s="679"/>
      <c r="AN870" s="679"/>
    </row>
    <row r="871" ht="14.25" customHeight="1">
      <c r="AJ871" s="679"/>
      <c r="AK871" s="679"/>
      <c r="AL871" s="679"/>
      <c r="AM871" s="679"/>
      <c r="AN871" s="679"/>
    </row>
    <row r="872" ht="14.25" customHeight="1">
      <c r="AJ872" s="679"/>
      <c r="AK872" s="679"/>
      <c r="AL872" s="679"/>
      <c r="AM872" s="679"/>
      <c r="AN872" s="679"/>
    </row>
    <row r="873" ht="14.25" customHeight="1">
      <c r="AJ873" s="679"/>
      <c r="AK873" s="679"/>
      <c r="AL873" s="679"/>
      <c r="AM873" s="679"/>
      <c r="AN873" s="679"/>
    </row>
    <row r="874" ht="14.25" customHeight="1">
      <c r="AJ874" s="679"/>
      <c r="AK874" s="679"/>
      <c r="AL874" s="679"/>
      <c r="AM874" s="679"/>
      <c r="AN874" s="679"/>
    </row>
    <row r="875" ht="14.25" customHeight="1">
      <c r="AJ875" s="679"/>
      <c r="AK875" s="679"/>
      <c r="AL875" s="679"/>
      <c r="AM875" s="679"/>
      <c r="AN875" s="679"/>
    </row>
    <row r="876" ht="14.25" customHeight="1">
      <c r="AJ876" s="679"/>
      <c r="AK876" s="679"/>
      <c r="AL876" s="679"/>
      <c r="AM876" s="679"/>
      <c r="AN876" s="679"/>
    </row>
    <row r="877" ht="14.25" customHeight="1">
      <c r="AJ877" s="679"/>
      <c r="AK877" s="679"/>
      <c r="AL877" s="679"/>
      <c r="AM877" s="679"/>
      <c r="AN877" s="679"/>
    </row>
    <row r="878" ht="14.25" customHeight="1">
      <c r="AJ878" s="679"/>
      <c r="AK878" s="679"/>
      <c r="AL878" s="679"/>
      <c r="AM878" s="679"/>
      <c r="AN878" s="679"/>
    </row>
    <row r="879" ht="14.25" customHeight="1">
      <c r="AJ879" s="679"/>
      <c r="AK879" s="679"/>
      <c r="AL879" s="679"/>
      <c r="AM879" s="679"/>
      <c r="AN879" s="679"/>
    </row>
    <row r="880" ht="14.25" customHeight="1">
      <c r="AJ880" s="679"/>
      <c r="AK880" s="679"/>
      <c r="AL880" s="679"/>
      <c r="AM880" s="679"/>
      <c r="AN880" s="679"/>
    </row>
    <row r="881" ht="14.25" customHeight="1">
      <c r="AJ881" s="679"/>
      <c r="AK881" s="679"/>
      <c r="AL881" s="679"/>
      <c r="AM881" s="679"/>
      <c r="AN881" s="679"/>
    </row>
    <row r="882" ht="14.25" customHeight="1">
      <c r="AJ882" s="679"/>
      <c r="AK882" s="679"/>
      <c r="AL882" s="679"/>
      <c r="AM882" s="679"/>
      <c r="AN882" s="679"/>
    </row>
    <row r="883" ht="14.25" customHeight="1">
      <c r="AJ883" s="679"/>
      <c r="AK883" s="679"/>
      <c r="AL883" s="679"/>
      <c r="AM883" s="679"/>
      <c r="AN883" s="679"/>
    </row>
    <row r="884" ht="14.25" customHeight="1">
      <c r="AJ884" s="679"/>
      <c r="AK884" s="679"/>
      <c r="AL884" s="679"/>
      <c r="AM884" s="679"/>
      <c r="AN884" s="679"/>
    </row>
    <row r="885" ht="14.25" customHeight="1">
      <c r="AJ885" s="679"/>
      <c r="AK885" s="679"/>
      <c r="AL885" s="679"/>
      <c r="AM885" s="679"/>
      <c r="AN885" s="679"/>
    </row>
    <row r="886" ht="14.25" customHeight="1">
      <c r="AJ886" s="679"/>
      <c r="AK886" s="679"/>
      <c r="AL886" s="679"/>
      <c r="AM886" s="679"/>
      <c r="AN886" s="679"/>
    </row>
    <row r="887" ht="14.25" customHeight="1">
      <c r="AJ887" s="679"/>
      <c r="AK887" s="679"/>
      <c r="AL887" s="679"/>
      <c r="AM887" s="679"/>
      <c r="AN887" s="679"/>
    </row>
    <row r="888" ht="14.25" customHeight="1">
      <c r="AJ888" s="679"/>
      <c r="AK888" s="679"/>
      <c r="AL888" s="679"/>
      <c r="AM888" s="679"/>
      <c r="AN888" s="679"/>
    </row>
    <row r="889" ht="14.25" customHeight="1">
      <c r="AJ889" s="679"/>
      <c r="AK889" s="679"/>
      <c r="AL889" s="679"/>
      <c r="AM889" s="679"/>
      <c r="AN889" s="679"/>
    </row>
    <row r="890" ht="14.25" customHeight="1">
      <c r="AJ890" s="679"/>
      <c r="AK890" s="679"/>
      <c r="AL890" s="679"/>
      <c r="AM890" s="679"/>
      <c r="AN890" s="679"/>
    </row>
    <row r="891" ht="14.25" customHeight="1">
      <c r="AJ891" s="679"/>
      <c r="AK891" s="679"/>
      <c r="AL891" s="679"/>
      <c r="AM891" s="679"/>
      <c r="AN891" s="679"/>
    </row>
    <row r="892" ht="14.25" customHeight="1">
      <c r="AJ892" s="679"/>
      <c r="AK892" s="679"/>
      <c r="AL892" s="679"/>
      <c r="AM892" s="679"/>
      <c r="AN892" s="679"/>
    </row>
    <row r="893" ht="14.25" customHeight="1">
      <c r="AJ893" s="679"/>
      <c r="AK893" s="679"/>
      <c r="AL893" s="679"/>
      <c r="AM893" s="679"/>
      <c r="AN893" s="679"/>
    </row>
    <row r="894" ht="14.25" customHeight="1">
      <c r="AJ894" s="679"/>
      <c r="AK894" s="679"/>
      <c r="AL894" s="679"/>
      <c r="AM894" s="679"/>
      <c r="AN894" s="679"/>
    </row>
    <row r="895" ht="14.25" customHeight="1">
      <c r="AJ895" s="679"/>
      <c r="AK895" s="679"/>
      <c r="AL895" s="679"/>
      <c r="AM895" s="679"/>
      <c r="AN895" s="679"/>
    </row>
    <row r="896" ht="14.25" customHeight="1">
      <c r="AJ896" s="679"/>
      <c r="AK896" s="679"/>
      <c r="AL896" s="679"/>
      <c r="AM896" s="679"/>
      <c r="AN896" s="679"/>
    </row>
    <row r="897" ht="14.25" customHeight="1">
      <c r="AJ897" s="679"/>
      <c r="AK897" s="679"/>
      <c r="AL897" s="679"/>
      <c r="AM897" s="679"/>
      <c r="AN897" s="679"/>
    </row>
    <row r="898" ht="14.25" customHeight="1">
      <c r="AJ898" s="679"/>
      <c r="AK898" s="679"/>
      <c r="AL898" s="679"/>
      <c r="AM898" s="679"/>
      <c r="AN898" s="679"/>
    </row>
    <row r="899" ht="14.25" customHeight="1">
      <c r="AJ899" s="679"/>
      <c r="AK899" s="679"/>
      <c r="AL899" s="679"/>
      <c r="AM899" s="679"/>
      <c r="AN899" s="679"/>
    </row>
    <row r="900" ht="14.25" customHeight="1">
      <c r="AJ900" s="679"/>
      <c r="AK900" s="679"/>
      <c r="AL900" s="679"/>
      <c r="AM900" s="679"/>
      <c r="AN900" s="679"/>
    </row>
    <row r="901" ht="14.25" customHeight="1">
      <c r="AJ901" s="679"/>
      <c r="AK901" s="679"/>
      <c r="AL901" s="679"/>
      <c r="AM901" s="679"/>
      <c r="AN901" s="679"/>
    </row>
    <row r="902" ht="14.25" customHeight="1">
      <c r="AJ902" s="679"/>
      <c r="AK902" s="679"/>
      <c r="AL902" s="679"/>
      <c r="AM902" s="679"/>
      <c r="AN902" s="679"/>
    </row>
    <row r="903" ht="14.25" customHeight="1">
      <c r="AJ903" s="679"/>
      <c r="AK903" s="679"/>
      <c r="AL903" s="679"/>
      <c r="AM903" s="679"/>
      <c r="AN903" s="679"/>
    </row>
    <row r="904" ht="14.25" customHeight="1">
      <c r="AJ904" s="679"/>
      <c r="AK904" s="679"/>
      <c r="AL904" s="679"/>
      <c r="AM904" s="679"/>
      <c r="AN904" s="679"/>
    </row>
    <row r="905" ht="14.25" customHeight="1">
      <c r="AJ905" s="679"/>
      <c r="AK905" s="679"/>
      <c r="AL905" s="679"/>
      <c r="AM905" s="679"/>
      <c r="AN905" s="679"/>
    </row>
    <row r="906" ht="14.25" customHeight="1">
      <c r="AJ906" s="679"/>
      <c r="AK906" s="679"/>
      <c r="AL906" s="679"/>
      <c r="AM906" s="679"/>
      <c r="AN906" s="679"/>
    </row>
    <row r="907" ht="14.25" customHeight="1">
      <c r="AJ907" s="679"/>
      <c r="AK907" s="679"/>
      <c r="AL907" s="679"/>
      <c r="AM907" s="679"/>
      <c r="AN907" s="679"/>
    </row>
    <row r="908" ht="14.25" customHeight="1">
      <c r="AJ908" s="679"/>
      <c r="AK908" s="679"/>
      <c r="AL908" s="679"/>
      <c r="AM908" s="679"/>
      <c r="AN908" s="679"/>
    </row>
    <row r="909" ht="14.25" customHeight="1">
      <c r="AJ909" s="679"/>
      <c r="AK909" s="679"/>
      <c r="AL909" s="679"/>
      <c r="AM909" s="679"/>
      <c r="AN909" s="679"/>
    </row>
    <row r="910" ht="14.25" customHeight="1">
      <c r="AJ910" s="679"/>
      <c r="AK910" s="679"/>
      <c r="AL910" s="679"/>
      <c r="AM910" s="679"/>
      <c r="AN910" s="679"/>
    </row>
    <row r="911" ht="14.25" customHeight="1">
      <c r="AJ911" s="679"/>
      <c r="AK911" s="679"/>
      <c r="AL911" s="679"/>
      <c r="AM911" s="679"/>
      <c r="AN911" s="679"/>
    </row>
    <row r="912" ht="14.25" customHeight="1">
      <c r="AJ912" s="679"/>
      <c r="AK912" s="679"/>
      <c r="AL912" s="679"/>
      <c r="AM912" s="679"/>
      <c r="AN912" s="679"/>
    </row>
    <row r="913" ht="14.25" customHeight="1">
      <c r="AJ913" s="679"/>
      <c r="AK913" s="679"/>
      <c r="AL913" s="679"/>
      <c r="AM913" s="679"/>
      <c r="AN913" s="679"/>
    </row>
    <row r="914" ht="14.25" customHeight="1">
      <c r="AJ914" s="679"/>
      <c r="AK914" s="679"/>
      <c r="AL914" s="679"/>
      <c r="AM914" s="679"/>
      <c r="AN914" s="679"/>
    </row>
    <row r="915" ht="14.25" customHeight="1">
      <c r="AJ915" s="679"/>
      <c r="AK915" s="679"/>
      <c r="AL915" s="679"/>
      <c r="AM915" s="679"/>
      <c r="AN915" s="679"/>
    </row>
    <row r="916" ht="14.25" customHeight="1">
      <c r="AJ916" s="679"/>
      <c r="AK916" s="679"/>
      <c r="AL916" s="679"/>
      <c r="AM916" s="679"/>
      <c r="AN916" s="679"/>
    </row>
    <row r="917" ht="14.25" customHeight="1">
      <c r="AJ917" s="679"/>
      <c r="AK917" s="679"/>
      <c r="AL917" s="679"/>
      <c r="AM917" s="679"/>
      <c r="AN917" s="679"/>
    </row>
    <row r="918" ht="14.25" customHeight="1">
      <c r="AJ918" s="679"/>
      <c r="AK918" s="679"/>
      <c r="AL918" s="679"/>
      <c r="AM918" s="679"/>
      <c r="AN918" s="679"/>
    </row>
    <row r="919" ht="14.25" customHeight="1">
      <c r="AJ919" s="679"/>
      <c r="AK919" s="679"/>
      <c r="AL919" s="679"/>
      <c r="AM919" s="679"/>
      <c r="AN919" s="679"/>
    </row>
    <row r="920" ht="14.25" customHeight="1">
      <c r="AJ920" s="679"/>
      <c r="AK920" s="679"/>
      <c r="AL920" s="679"/>
      <c r="AM920" s="679"/>
      <c r="AN920" s="679"/>
    </row>
    <row r="921" ht="14.25" customHeight="1">
      <c r="AJ921" s="679"/>
      <c r="AK921" s="679"/>
      <c r="AL921" s="679"/>
      <c r="AM921" s="679"/>
      <c r="AN921" s="679"/>
    </row>
    <row r="922" ht="14.25" customHeight="1">
      <c r="AJ922" s="679"/>
      <c r="AK922" s="679"/>
      <c r="AL922" s="679"/>
      <c r="AM922" s="679"/>
      <c r="AN922" s="679"/>
    </row>
    <row r="923" ht="14.25" customHeight="1">
      <c r="AJ923" s="679"/>
      <c r="AK923" s="679"/>
      <c r="AL923" s="679"/>
      <c r="AM923" s="679"/>
      <c r="AN923" s="679"/>
    </row>
    <row r="924" ht="14.25" customHeight="1">
      <c r="AJ924" s="679"/>
      <c r="AK924" s="679"/>
      <c r="AL924" s="679"/>
      <c r="AM924" s="679"/>
      <c r="AN924" s="679"/>
    </row>
    <row r="925" ht="14.25" customHeight="1">
      <c r="AJ925" s="679"/>
      <c r="AK925" s="679"/>
      <c r="AL925" s="679"/>
      <c r="AM925" s="679"/>
      <c r="AN925" s="679"/>
    </row>
    <row r="926" ht="14.25" customHeight="1">
      <c r="AJ926" s="679"/>
      <c r="AK926" s="679"/>
      <c r="AL926" s="679"/>
      <c r="AM926" s="679"/>
      <c r="AN926" s="679"/>
    </row>
    <row r="927" ht="14.25" customHeight="1">
      <c r="AJ927" s="679"/>
      <c r="AK927" s="679"/>
      <c r="AL927" s="679"/>
      <c r="AM927" s="679"/>
      <c r="AN927" s="679"/>
    </row>
    <row r="928" ht="14.25" customHeight="1">
      <c r="AJ928" s="679"/>
      <c r="AK928" s="679"/>
      <c r="AL928" s="679"/>
      <c r="AM928" s="679"/>
      <c r="AN928" s="679"/>
    </row>
    <row r="929" ht="14.25" customHeight="1">
      <c r="AJ929" s="679"/>
      <c r="AK929" s="679"/>
      <c r="AL929" s="679"/>
      <c r="AM929" s="679"/>
      <c r="AN929" s="679"/>
    </row>
    <row r="930" ht="14.25" customHeight="1">
      <c r="AJ930" s="679"/>
      <c r="AK930" s="679"/>
      <c r="AL930" s="679"/>
      <c r="AM930" s="679"/>
      <c r="AN930" s="679"/>
    </row>
    <row r="931" ht="14.25" customHeight="1">
      <c r="AJ931" s="679"/>
      <c r="AK931" s="679"/>
      <c r="AL931" s="679"/>
      <c r="AM931" s="679"/>
      <c r="AN931" s="679"/>
    </row>
    <row r="932" ht="14.25" customHeight="1">
      <c r="AJ932" s="679"/>
      <c r="AK932" s="679"/>
      <c r="AL932" s="679"/>
      <c r="AM932" s="679"/>
      <c r="AN932" s="679"/>
    </row>
    <row r="933" ht="14.25" customHeight="1">
      <c r="AJ933" s="679"/>
      <c r="AK933" s="679"/>
      <c r="AL933" s="679"/>
      <c r="AM933" s="679"/>
      <c r="AN933" s="679"/>
    </row>
    <row r="934" ht="14.25" customHeight="1">
      <c r="AJ934" s="679"/>
      <c r="AK934" s="679"/>
      <c r="AL934" s="679"/>
      <c r="AM934" s="679"/>
      <c r="AN934" s="679"/>
    </row>
    <row r="935" ht="14.25" customHeight="1">
      <c r="AJ935" s="679"/>
      <c r="AK935" s="679"/>
      <c r="AL935" s="679"/>
      <c r="AM935" s="679"/>
      <c r="AN935" s="679"/>
    </row>
    <row r="936" ht="14.25" customHeight="1">
      <c r="AJ936" s="679"/>
      <c r="AK936" s="679"/>
      <c r="AL936" s="679"/>
      <c r="AM936" s="679"/>
      <c r="AN936" s="679"/>
    </row>
    <row r="937" ht="14.25" customHeight="1">
      <c r="AJ937" s="679"/>
      <c r="AK937" s="679"/>
      <c r="AL937" s="679"/>
      <c r="AM937" s="679"/>
      <c r="AN937" s="679"/>
    </row>
    <row r="938" ht="14.25" customHeight="1">
      <c r="AJ938" s="679"/>
      <c r="AK938" s="679"/>
      <c r="AL938" s="679"/>
      <c r="AM938" s="679"/>
      <c r="AN938" s="679"/>
    </row>
    <row r="939" ht="14.25" customHeight="1">
      <c r="AJ939" s="679"/>
      <c r="AK939" s="679"/>
      <c r="AL939" s="679"/>
      <c r="AM939" s="679"/>
      <c r="AN939" s="679"/>
    </row>
    <row r="940" ht="14.25" customHeight="1">
      <c r="AJ940" s="679"/>
      <c r="AK940" s="679"/>
      <c r="AL940" s="679"/>
      <c r="AM940" s="679"/>
      <c r="AN940" s="679"/>
    </row>
    <row r="941" ht="14.25" customHeight="1">
      <c r="AJ941" s="679"/>
      <c r="AK941" s="679"/>
      <c r="AL941" s="679"/>
      <c r="AM941" s="679"/>
      <c r="AN941" s="679"/>
    </row>
    <row r="942" ht="14.25" customHeight="1">
      <c r="AJ942" s="679"/>
      <c r="AK942" s="679"/>
      <c r="AL942" s="679"/>
      <c r="AM942" s="679"/>
      <c r="AN942" s="679"/>
    </row>
    <row r="943" ht="14.25" customHeight="1">
      <c r="AJ943" s="679"/>
      <c r="AK943" s="679"/>
      <c r="AL943" s="679"/>
      <c r="AM943" s="679"/>
      <c r="AN943" s="679"/>
    </row>
    <row r="944" ht="14.25" customHeight="1">
      <c r="AJ944" s="679"/>
      <c r="AK944" s="679"/>
      <c r="AL944" s="679"/>
      <c r="AM944" s="679"/>
      <c r="AN944" s="679"/>
    </row>
    <row r="945" ht="14.25" customHeight="1">
      <c r="AJ945" s="679"/>
      <c r="AK945" s="679"/>
      <c r="AL945" s="679"/>
      <c r="AM945" s="679"/>
      <c r="AN945" s="679"/>
    </row>
    <row r="946" ht="14.25" customHeight="1">
      <c r="AJ946" s="679"/>
      <c r="AK946" s="679"/>
      <c r="AL946" s="679"/>
      <c r="AM946" s="679"/>
      <c r="AN946" s="679"/>
    </row>
    <row r="947" ht="14.25" customHeight="1">
      <c r="AJ947" s="679"/>
      <c r="AK947" s="679"/>
      <c r="AL947" s="679"/>
      <c r="AM947" s="679"/>
      <c r="AN947" s="679"/>
    </row>
    <row r="948" ht="14.25" customHeight="1">
      <c r="AJ948" s="679"/>
      <c r="AK948" s="679"/>
      <c r="AL948" s="679"/>
      <c r="AM948" s="679"/>
      <c r="AN948" s="679"/>
    </row>
    <row r="949" ht="14.25" customHeight="1">
      <c r="AJ949" s="679"/>
      <c r="AK949" s="679"/>
      <c r="AL949" s="679"/>
      <c r="AM949" s="679"/>
      <c r="AN949" s="679"/>
    </row>
    <row r="950" ht="14.25" customHeight="1">
      <c r="AJ950" s="679"/>
      <c r="AK950" s="679"/>
      <c r="AL950" s="679"/>
      <c r="AM950" s="679"/>
      <c r="AN950" s="679"/>
    </row>
    <row r="951" ht="14.25" customHeight="1">
      <c r="AJ951" s="679"/>
      <c r="AK951" s="679"/>
      <c r="AL951" s="679"/>
      <c r="AM951" s="679"/>
      <c r="AN951" s="679"/>
    </row>
    <row r="952" ht="14.25" customHeight="1">
      <c r="AJ952" s="679"/>
      <c r="AK952" s="679"/>
      <c r="AL952" s="679"/>
      <c r="AM952" s="679"/>
      <c r="AN952" s="679"/>
    </row>
    <row r="953" ht="14.25" customHeight="1">
      <c r="AJ953" s="679"/>
      <c r="AK953" s="679"/>
      <c r="AL953" s="679"/>
      <c r="AM953" s="679"/>
      <c r="AN953" s="679"/>
    </row>
    <row r="954" ht="14.25" customHeight="1">
      <c r="AJ954" s="679"/>
      <c r="AK954" s="679"/>
      <c r="AL954" s="679"/>
      <c r="AM954" s="679"/>
      <c r="AN954" s="679"/>
    </row>
    <row r="955" ht="14.25" customHeight="1">
      <c r="AJ955" s="679"/>
      <c r="AK955" s="679"/>
      <c r="AL955" s="679"/>
      <c r="AM955" s="679"/>
      <c r="AN955" s="679"/>
    </row>
    <row r="956" ht="14.25" customHeight="1">
      <c r="AJ956" s="679"/>
      <c r="AK956" s="679"/>
      <c r="AL956" s="679"/>
      <c r="AM956" s="679"/>
      <c r="AN956" s="679"/>
    </row>
    <row r="957" ht="14.25" customHeight="1">
      <c r="AJ957" s="679"/>
      <c r="AK957" s="679"/>
      <c r="AL957" s="679"/>
      <c r="AM957" s="679"/>
      <c r="AN957" s="679"/>
    </row>
    <row r="958" ht="14.25" customHeight="1">
      <c r="AJ958" s="679"/>
      <c r="AK958" s="679"/>
      <c r="AL958" s="679"/>
      <c r="AM958" s="679"/>
      <c r="AN958" s="679"/>
    </row>
    <row r="959" ht="14.25" customHeight="1">
      <c r="AJ959" s="679"/>
      <c r="AK959" s="679"/>
      <c r="AL959" s="679"/>
      <c r="AM959" s="679"/>
      <c r="AN959" s="679"/>
    </row>
    <row r="960" ht="14.25" customHeight="1">
      <c r="AJ960" s="679"/>
      <c r="AK960" s="679"/>
      <c r="AL960" s="679"/>
      <c r="AM960" s="679"/>
      <c r="AN960" s="679"/>
    </row>
    <row r="961" ht="14.25" customHeight="1">
      <c r="AJ961" s="679"/>
      <c r="AK961" s="679"/>
      <c r="AL961" s="679"/>
      <c r="AM961" s="679"/>
      <c r="AN961" s="679"/>
    </row>
    <row r="962" ht="14.25" customHeight="1">
      <c r="AJ962" s="679"/>
      <c r="AK962" s="679"/>
      <c r="AL962" s="679"/>
      <c r="AM962" s="679"/>
      <c r="AN962" s="679"/>
    </row>
    <row r="963" ht="14.25" customHeight="1">
      <c r="AJ963" s="679"/>
      <c r="AK963" s="679"/>
      <c r="AL963" s="679"/>
      <c r="AM963" s="679"/>
      <c r="AN963" s="679"/>
    </row>
    <row r="964" ht="14.25" customHeight="1">
      <c r="AJ964" s="679"/>
      <c r="AK964" s="679"/>
      <c r="AL964" s="679"/>
      <c r="AM964" s="679"/>
      <c r="AN964" s="679"/>
    </row>
    <row r="965" ht="14.25" customHeight="1">
      <c r="AJ965" s="679"/>
      <c r="AK965" s="679"/>
      <c r="AL965" s="679"/>
      <c r="AM965" s="679"/>
      <c r="AN965" s="679"/>
    </row>
    <row r="966" ht="14.25" customHeight="1">
      <c r="AJ966" s="679"/>
      <c r="AK966" s="679"/>
      <c r="AL966" s="679"/>
      <c r="AM966" s="679"/>
      <c r="AN966" s="679"/>
    </row>
    <row r="967" ht="14.25" customHeight="1">
      <c r="AJ967" s="679"/>
      <c r="AK967" s="679"/>
      <c r="AL967" s="679"/>
      <c r="AM967" s="679"/>
      <c r="AN967" s="679"/>
    </row>
    <row r="968" ht="14.25" customHeight="1">
      <c r="AJ968" s="679"/>
      <c r="AK968" s="679"/>
      <c r="AL968" s="679"/>
      <c r="AM968" s="679"/>
      <c r="AN968" s="679"/>
    </row>
    <row r="969" ht="14.25" customHeight="1">
      <c r="AJ969" s="679"/>
      <c r="AK969" s="679"/>
      <c r="AL969" s="679"/>
      <c r="AM969" s="679"/>
      <c r="AN969" s="679"/>
    </row>
    <row r="970" ht="14.25" customHeight="1">
      <c r="AJ970" s="679"/>
      <c r="AK970" s="679"/>
      <c r="AL970" s="679"/>
      <c r="AM970" s="679"/>
      <c r="AN970" s="679"/>
    </row>
    <row r="971" ht="14.25" customHeight="1">
      <c r="AJ971" s="679"/>
      <c r="AK971" s="679"/>
      <c r="AL971" s="679"/>
      <c r="AM971" s="679"/>
      <c r="AN971" s="679"/>
    </row>
    <row r="972" ht="14.25" customHeight="1">
      <c r="AJ972" s="679"/>
      <c r="AK972" s="679"/>
      <c r="AL972" s="679"/>
      <c r="AM972" s="679"/>
      <c r="AN972" s="679"/>
    </row>
    <row r="973" ht="14.25" customHeight="1">
      <c r="AJ973" s="679"/>
      <c r="AK973" s="679"/>
      <c r="AL973" s="679"/>
      <c r="AM973" s="679"/>
      <c r="AN973" s="679"/>
    </row>
    <row r="974" ht="14.25" customHeight="1">
      <c r="AJ974" s="679"/>
      <c r="AK974" s="679"/>
      <c r="AL974" s="679"/>
      <c r="AM974" s="679"/>
      <c r="AN974" s="679"/>
    </row>
    <row r="975" ht="14.25" customHeight="1">
      <c r="AJ975" s="679"/>
      <c r="AK975" s="679"/>
      <c r="AL975" s="679"/>
      <c r="AM975" s="679"/>
      <c r="AN975" s="679"/>
    </row>
    <row r="976" ht="14.25" customHeight="1">
      <c r="AJ976" s="679"/>
      <c r="AK976" s="679"/>
      <c r="AL976" s="679"/>
      <c r="AM976" s="679"/>
      <c r="AN976" s="679"/>
    </row>
    <row r="977" ht="14.25" customHeight="1">
      <c r="AJ977" s="679"/>
      <c r="AK977" s="679"/>
      <c r="AL977" s="679"/>
      <c r="AM977" s="679"/>
      <c r="AN977" s="679"/>
    </row>
    <row r="978" ht="14.25" customHeight="1">
      <c r="AJ978" s="679"/>
      <c r="AK978" s="679"/>
      <c r="AL978" s="679"/>
      <c r="AM978" s="679"/>
      <c r="AN978" s="679"/>
    </row>
    <row r="979" ht="14.25" customHeight="1">
      <c r="AJ979" s="679"/>
      <c r="AK979" s="679"/>
      <c r="AL979" s="679"/>
      <c r="AM979" s="679"/>
      <c r="AN979" s="679"/>
    </row>
    <row r="980" ht="14.25" customHeight="1">
      <c r="AJ980" s="679"/>
      <c r="AK980" s="679"/>
      <c r="AL980" s="679"/>
      <c r="AM980" s="679"/>
      <c r="AN980" s="679"/>
    </row>
    <row r="981" ht="14.25" customHeight="1">
      <c r="AJ981" s="679"/>
      <c r="AK981" s="679"/>
      <c r="AL981" s="679"/>
      <c r="AM981" s="679"/>
      <c r="AN981" s="679"/>
    </row>
    <row r="982" ht="14.25" customHeight="1">
      <c r="AJ982" s="679"/>
      <c r="AK982" s="679"/>
      <c r="AL982" s="679"/>
      <c r="AM982" s="679"/>
      <c r="AN982" s="679"/>
    </row>
    <row r="983" ht="14.25" customHeight="1">
      <c r="AJ983" s="679"/>
      <c r="AK983" s="679"/>
      <c r="AL983" s="679"/>
      <c r="AM983" s="679"/>
      <c r="AN983" s="679"/>
    </row>
    <row r="984" ht="14.25" customHeight="1">
      <c r="AJ984" s="679"/>
      <c r="AK984" s="679"/>
      <c r="AL984" s="679"/>
      <c r="AM984" s="679"/>
      <c r="AN984" s="679"/>
    </row>
    <row r="985" ht="14.25" customHeight="1">
      <c r="AJ985" s="679"/>
      <c r="AK985" s="679"/>
      <c r="AL985" s="679"/>
      <c r="AM985" s="679"/>
      <c r="AN985" s="679"/>
    </row>
    <row r="986" ht="14.25" customHeight="1">
      <c r="AJ986" s="679"/>
      <c r="AK986" s="679"/>
      <c r="AL986" s="679"/>
      <c r="AM986" s="679"/>
      <c r="AN986" s="679"/>
    </row>
    <row r="987" ht="14.25" customHeight="1">
      <c r="AJ987" s="679"/>
      <c r="AK987" s="679"/>
      <c r="AL987" s="679"/>
      <c r="AM987" s="679"/>
      <c r="AN987" s="679"/>
    </row>
    <row r="988" ht="14.25" customHeight="1">
      <c r="AJ988" s="679"/>
      <c r="AK988" s="679"/>
      <c r="AL988" s="679"/>
      <c r="AM988" s="679"/>
      <c r="AN988" s="679"/>
    </row>
    <row r="989" ht="14.25" customHeight="1">
      <c r="AJ989" s="679"/>
      <c r="AK989" s="679"/>
      <c r="AL989" s="679"/>
      <c r="AM989" s="679"/>
      <c r="AN989" s="679"/>
    </row>
    <row r="990" ht="14.25" customHeight="1">
      <c r="AJ990" s="679"/>
      <c r="AK990" s="679"/>
      <c r="AL990" s="679"/>
      <c r="AM990" s="679"/>
      <c r="AN990" s="679"/>
    </row>
    <row r="991" ht="14.25" customHeight="1">
      <c r="AJ991" s="679"/>
      <c r="AK991" s="679"/>
      <c r="AL991" s="679"/>
      <c r="AM991" s="679"/>
      <c r="AN991" s="679"/>
    </row>
    <row r="992" ht="14.25" customHeight="1">
      <c r="AJ992" s="679"/>
      <c r="AK992" s="679"/>
      <c r="AL992" s="679"/>
      <c r="AM992" s="679"/>
      <c r="AN992" s="679"/>
    </row>
    <row r="993" ht="14.25" customHeight="1">
      <c r="AJ993" s="679"/>
      <c r="AK993" s="679"/>
      <c r="AL993" s="679"/>
      <c r="AM993" s="679"/>
      <c r="AN993" s="679"/>
    </row>
    <row r="994" ht="14.25" customHeight="1">
      <c r="AJ994" s="679"/>
      <c r="AK994" s="679"/>
      <c r="AL994" s="679"/>
      <c r="AM994" s="679"/>
      <c r="AN994" s="679"/>
    </row>
    <row r="995" ht="14.25" customHeight="1">
      <c r="AJ995" s="679"/>
      <c r="AK995" s="679"/>
      <c r="AL995" s="679"/>
      <c r="AM995" s="679"/>
      <c r="AN995" s="679"/>
    </row>
    <row r="996" ht="14.25" customHeight="1">
      <c r="AJ996" s="679"/>
      <c r="AK996" s="679"/>
      <c r="AL996" s="679"/>
      <c r="AM996" s="679"/>
      <c r="AN996" s="679"/>
    </row>
    <row r="997" ht="14.25" customHeight="1">
      <c r="AJ997" s="679"/>
      <c r="AK997" s="679"/>
      <c r="AL997" s="679"/>
      <c r="AM997" s="679"/>
      <c r="AN997" s="679"/>
    </row>
    <row r="998" ht="14.25" customHeight="1">
      <c r="AJ998" s="679"/>
      <c r="AK998" s="679"/>
      <c r="AL998" s="679"/>
      <c r="AM998" s="679"/>
      <c r="AN998" s="679"/>
    </row>
    <row r="999" ht="14.25" customHeight="1">
      <c r="AJ999" s="679"/>
      <c r="AK999" s="679"/>
      <c r="AL999" s="679"/>
      <c r="AM999" s="679"/>
      <c r="AN999" s="679"/>
    </row>
    <row r="1000" ht="14.25" customHeight="1">
      <c r="AJ1000" s="679"/>
      <c r="AK1000" s="679"/>
      <c r="AL1000" s="679"/>
      <c r="AM1000" s="679"/>
      <c r="AN1000" s="679"/>
    </row>
  </sheetData>
  <mergeCells count="272">
    <mergeCell ref="F11:H11"/>
    <mergeCell ref="D12:E12"/>
    <mergeCell ref="F12:H12"/>
    <mergeCell ref="D30:E30"/>
    <mergeCell ref="F30:H30"/>
    <mergeCell ref="I32:N32"/>
    <mergeCell ref="I33:N33"/>
    <mergeCell ref="R1:R31"/>
    <mergeCell ref="C2:D2"/>
    <mergeCell ref="F2:H6"/>
    <mergeCell ref="J2:M5"/>
    <mergeCell ref="C3:D3"/>
    <mergeCell ref="B9:B10"/>
    <mergeCell ref="C9:E9"/>
    <mergeCell ref="J64:K65"/>
    <mergeCell ref="J66:K66"/>
    <mergeCell ref="J67:K67"/>
    <mergeCell ref="B64:B65"/>
    <mergeCell ref="C64:D64"/>
    <mergeCell ref="E64:G64"/>
    <mergeCell ref="H64:H65"/>
    <mergeCell ref="I64:I65"/>
    <mergeCell ref="F65:G65"/>
    <mergeCell ref="F66:G66"/>
    <mergeCell ref="J70:K70"/>
    <mergeCell ref="J71:K71"/>
    <mergeCell ref="F67:G67"/>
    <mergeCell ref="F68:G68"/>
    <mergeCell ref="J68:K68"/>
    <mergeCell ref="F69:G69"/>
    <mergeCell ref="J69:K69"/>
    <mergeCell ref="F70:G70"/>
    <mergeCell ref="F71:G71"/>
    <mergeCell ref="F72:G72"/>
    <mergeCell ref="J72:K72"/>
    <mergeCell ref="F73:G73"/>
    <mergeCell ref="J73:K73"/>
    <mergeCell ref="F74:G74"/>
    <mergeCell ref="J74:K74"/>
    <mergeCell ref="J75:K75"/>
    <mergeCell ref="J79:K79"/>
    <mergeCell ref="J80:K80"/>
    <mergeCell ref="F75:G75"/>
    <mergeCell ref="F76:G76"/>
    <mergeCell ref="F77:G77"/>
    <mergeCell ref="F78:G78"/>
    <mergeCell ref="J78:K78"/>
    <mergeCell ref="F79:G79"/>
    <mergeCell ref="F80:G80"/>
    <mergeCell ref="F81:G81"/>
    <mergeCell ref="J81:K81"/>
    <mergeCell ref="F82:G82"/>
    <mergeCell ref="J82:K82"/>
    <mergeCell ref="F83:G83"/>
    <mergeCell ref="J83:K83"/>
    <mergeCell ref="J84:K84"/>
    <mergeCell ref="J85:K85"/>
    <mergeCell ref="C103:C106"/>
    <mergeCell ref="C108:F108"/>
    <mergeCell ref="C109:F109"/>
    <mergeCell ref="F84:G84"/>
    <mergeCell ref="F85:G85"/>
    <mergeCell ref="A91:Q93"/>
    <mergeCell ref="C97:D97"/>
    <mergeCell ref="E97:I97"/>
    <mergeCell ref="D103:D105"/>
    <mergeCell ref="I103:I105"/>
    <mergeCell ref="D23:E23"/>
    <mergeCell ref="F23:H23"/>
    <mergeCell ref="D24:E24"/>
    <mergeCell ref="F24:H24"/>
    <mergeCell ref="D25:E25"/>
    <mergeCell ref="F25:H25"/>
    <mergeCell ref="D26:E26"/>
    <mergeCell ref="F26:H26"/>
    <mergeCell ref="D27:E27"/>
    <mergeCell ref="F27:H27"/>
    <mergeCell ref="F43:G43"/>
    <mergeCell ref="I43:K43"/>
    <mergeCell ref="L43:N43"/>
    <mergeCell ref="L44:N44"/>
    <mergeCell ref="L45:N45"/>
    <mergeCell ref="L46:N46"/>
    <mergeCell ref="L47:N47"/>
    <mergeCell ref="J76:K76"/>
    <mergeCell ref="J77:K77"/>
    <mergeCell ref="O64:P64"/>
    <mergeCell ref="M66:N66"/>
    <mergeCell ref="M79:N79"/>
    <mergeCell ref="M80:N80"/>
    <mergeCell ref="M81:N81"/>
    <mergeCell ref="M82:N82"/>
    <mergeCell ref="M83:N83"/>
    <mergeCell ref="M84:N84"/>
    <mergeCell ref="M85:N85"/>
    <mergeCell ref="M86:N86"/>
    <mergeCell ref="R89:R97"/>
    <mergeCell ref="R98:R100"/>
    <mergeCell ref="R101:R130"/>
    <mergeCell ref="L37:N38"/>
    <mergeCell ref="O37:P37"/>
    <mergeCell ref="L39:N39"/>
    <mergeCell ref="L40:N40"/>
    <mergeCell ref="L41:N41"/>
    <mergeCell ref="L42:N42"/>
    <mergeCell ref="R63:R88"/>
    <mergeCell ref="L64:L65"/>
    <mergeCell ref="M64:N65"/>
    <mergeCell ref="M67:N67"/>
    <mergeCell ref="M68:N68"/>
    <mergeCell ref="M69:N69"/>
    <mergeCell ref="M70:N70"/>
    <mergeCell ref="M71:N71"/>
    <mergeCell ref="M72:N72"/>
    <mergeCell ref="M73:N73"/>
    <mergeCell ref="M74:N74"/>
    <mergeCell ref="M75:N75"/>
    <mergeCell ref="M76:N76"/>
    <mergeCell ref="M77:N77"/>
    <mergeCell ref="M78:N78"/>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F9:H10"/>
    <mergeCell ref="I9:K9"/>
    <mergeCell ref="T10:U10"/>
    <mergeCell ref="T11:U11"/>
    <mergeCell ref="T12:U12"/>
    <mergeCell ref="AH9:AH10"/>
    <mergeCell ref="AI9:AI10"/>
    <mergeCell ref="AJ9:AJ10"/>
    <mergeCell ref="L9:N9"/>
    <mergeCell ref="O9:P9"/>
    <mergeCell ref="T9:V9"/>
    <mergeCell ref="W9:X9"/>
    <mergeCell ref="Y9:AA9"/>
    <mergeCell ref="AB9:AD9"/>
    <mergeCell ref="AE9:AG9"/>
    <mergeCell ref="D10:E10"/>
    <mergeCell ref="D11:E11"/>
    <mergeCell ref="D13:E13"/>
    <mergeCell ref="F13:H13"/>
    <mergeCell ref="T13:U13"/>
    <mergeCell ref="D14:E14"/>
    <mergeCell ref="F14:H14"/>
    <mergeCell ref="T14:U14"/>
    <mergeCell ref="D15:E15"/>
    <mergeCell ref="F15:H15"/>
    <mergeCell ref="T15:U15"/>
    <mergeCell ref="T16:U16"/>
    <mergeCell ref="T17:U17"/>
    <mergeCell ref="T18:U18"/>
    <mergeCell ref="T19:U19"/>
    <mergeCell ref="D28:E28"/>
    <mergeCell ref="F28:H28"/>
    <mergeCell ref="D29:E29"/>
    <mergeCell ref="F29:H29"/>
    <mergeCell ref="B37:B38"/>
    <mergeCell ref="C37:D37"/>
    <mergeCell ref="E37:G37"/>
    <mergeCell ref="H37:H38"/>
    <mergeCell ref="I37:K38"/>
    <mergeCell ref="I41:K41"/>
    <mergeCell ref="I42:K42"/>
    <mergeCell ref="F38:G38"/>
    <mergeCell ref="F39:G39"/>
    <mergeCell ref="I39:K39"/>
    <mergeCell ref="F40:G40"/>
    <mergeCell ref="I40:K40"/>
    <mergeCell ref="F41:G41"/>
    <mergeCell ref="F42:G42"/>
    <mergeCell ref="F44:G44"/>
    <mergeCell ref="I44:K44"/>
    <mergeCell ref="F45:G45"/>
    <mergeCell ref="I45:K45"/>
    <mergeCell ref="F46:G46"/>
    <mergeCell ref="I46:K46"/>
    <mergeCell ref="I47:K47"/>
    <mergeCell ref="F54:G54"/>
    <mergeCell ref="F55:G55"/>
    <mergeCell ref="F56:G56"/>
    <mergeCell ref="F57:G57"/>
    <mergeCell ref="F58:G58"/>
    <mergeCell ref="A63:A65"/>
    <mergeCell ref="F47:G47"/>
    <mergeCell ref="F48:G48"/>
    <mergeCell ref="F49:G49"/>
    <mergeCell ref="F50:G50"/>
    <mergeCell ref="F51:G51"/>
    <mergeCell ref="F52:G52"/>
    <mergeCell ref="F53:G53"/>
    <mergeCell ref="I55:K55"/>
    <mergeCell ref="I56:K56"/>
    <mergeCell ref="I57:K57"/>
    <mergeCell ref="I58:K58"/>
    <mergeCell ref="I59:K59"/>
    <mergeCell ref="I48:K48"/>
    <mergeCell ref="I49:K49"/>
    <mergeCell ref="I50:K50"/>
    <mergeCell ref="I51:K51"/>
    <mergeCell ref="I52:K52"/>
    <mergeCell ref="I53:K53"/>
    <mergeCell ref="I54:K54"/>
    <mergeCell ref="T48:U48"/>
    <mergeCell ref="T49:U49"/>
    <mergeCell ref="T50:U50"/>
    <mergeCell ref="T51:U51"/>
    <mergeCell ref="T52:U52"/>
    <mergeCell ref="T53:U53"/>
    <mergeCell ref="T54:U54"/>
    <mergeCell ref="T55:U55"/>
    <mergeCell ref="T56:U56"/>
    <mergeCell ref="T57:U57"/>
    <mergeCell ref="T27:U27"/>
    <mergeCell ref="T28:U28"/>
    <mergeCell ref="T29:U29"/>
    <mergeCell ref="T30:U30"/>
    <mergeCell ref="R34:R62"/>
    <mergeCell ref="T37:V37"/>
    <mergeCell ref="W37:X37"/>
    <mergeCell ref="T58:U58"/>
    <mergeCell ref="T20:U20"/>
    <mergeCell ref="T21:U21"/>
    <mergeCell ref="T22:U22"/>
    <mergeCell ref="T23:U23"/>
    <mergeCell ref="T24:U24"/>
    <mergeCell ref="T25:U25"/>
    <mergeCell ref="T26:U26"/>
    <mergeCell ref="Y37:AA37"/>
    <mergeCell ref="AB37:AD37"/>
    <mergeCell ref="AE37:AF37"/>
    <mergeCell ref="AG37:AH37"/>
    <mergeCell ref="AI37:AI38"/>
    <mergeCell ref="T38:U38"/>
    <mergeCell ref="T39:U39"/>
    <mergeCell ref="T40:U40"/>
    <mergeCell ref="T41:U41"/>
    <mergeCell ref="T42:U42"/>
    <mergeCell ref="T43:U43"/>
    <mergeCell ref="T44:U44"/>
    <mergeCell ref="T45:U45"/>
    <mergeCell ref="T46:U46"/>
    <mergeCell ref="T47:U47"/>
    <mergeCell ref="L48:N48"/>
    <mergeCell ref="L49:N49"/>
    <mergeCell ref="L50:N50"/>
    <mergeCell ref="L51:N51"/>
    <mergeCell ref="L52:N52"/>
    <mergeCell ref="L53:N53"/>
    <mergeCell ref="L54:N54"/>
    <mergeCell ref="T64:AD64"/>
    <mergeCell ref="AF64:AP64"/>
    <mergeCell ref="AQ64:AQ65"/>
    <mergeCell ref="AR64:AV64"/>
    <mergeCell ref="L55:N55"/>
    <mergeCell ref="L56:N56"/>
    <mergeCell ref="L57:N57"/>
    <mergeCell ref="L58:N58"/>
    <mergeCell ref="L59:N59"/>
    <mergeCell ref="BA63:BA64"/>
    <mergeCell ref="AE64:AE65"/>
  </mergeCells>
  <conditionalFormatting sqref="AG11:AG30">
    <cfRule type="cellIs" dxfId="1" priority="1" operator="equal">
      <formula>"Unacceptable Loss"</formula>
    </cfRule>
  </conditionalFormatting>
  <conditionalFormatting sqref="X11:X30">
    <cfRule type="cellIs" dxfId="1" priority="2" operator="equal">
      <formula>"Not Possible"</formula>
    </cfRule>
  </conditionalFormatting>
  <conditionalFormatting sqref="AG11:AG30">
    <cfRule type="cellIs" dxfId="1" priority="3" operator="equal">
      <formula>"Unacceptable Loss"</formula>
    </cfRule>
  </conditionalFormatting>
  <conditionalFormatting sqref="AG11:AG30">
    <cfRule type="cellIs" dxfId="1" priority="4" operator="equal">
      <formula>"Unacceptable Loss"</formula>
    </cfRule>
  </conditionalFormatting>
  <conditionalFormatting sqref="I31">
    <cfRule type="cellIs" dxfId="1" priority="5" operator="greaterThan">
      <formula>5000</formula>
    </cfRule>
  </conditionalFormatting>
  <conditionalFormatting sqref="E97">
    <cfRule type="containsText" dxfId="10" priority="6" operator="containsText" text="Trading Rules Satisfied">
      <formula>NOT(ISERROR(SEARCH(("Trading Rules Satisfied"),(E97))))</formula>
    </cfRule>
  </conditionalFormatting>
  <conditionalFormatting sqref="E97">
    <cfRule type="containsText" dxfId="1" priority="7" operator="containsText" text="Error - Trading Rules Not Satisfied">
      <formula>NOT(ISERROR(SEARCH(("Error - Trading Rules Not Satisfied"),(E97))))</formula>
    </cfRule>
  </conditionalFormatting>
  <conditionalFormatting sqref="J2 O6">
    <cfRule type="containsText" dxfId="11" priority="8" operator="containsText" text="Errors Present On Sheet">
      <formula>NOT(ISERROR(SEARCH(("Errors Present On Sheet"),(J2))))</formula>
    </cfRule>
  </conditionalFormatting>
  <conditionalFormatting sqref="X39:X58">
    <cfRule type="cellIs" dxfId="1" priority="9" operator="equal">
      <formula>"Not Possible"</formula>
    </cfRule>
  </conditionalFormatting>
  <conditionalFormatting sqref="I86">
    <cfRule type="expression" dxfId="1" priority="10">
      <formula>"p18=""Avoid"""</formula>
    </cfRule>
  </conditionalFormatting>
  <conditionalFormatting sqref="I86">
    <cfRule type="cellIs" dxfId="1" priority="11" operator="equal">
      <formula>"Any loss Unacceptable"</formula>
    </cfRule>
  </conditionalFormatting>
  <conditionalFormatting sqref="I86">
    <cfRule type="cellIs" dxfId="1" priority="12" operator="equal">
      <formula>"Any loss Unacceptable"</formula>
    </cfRule>
  </conditionalFormatting>
  <conditionalFormatting sqref="L86">
    <cfRule type="expression" dxfId="1" priority="13">
      <formula>"p18=""Avoid"""</formula>
    </cfRule>
  </conditionalFormatting>
  <conditionalFormatting sqref="L86">
    <cfRule type="cellIs" dxfId="1" priority="14" operator="equal">
      <formula>"Any loss Unacceptable"</formula>
    </cfRule>
  </conditionalFormatting>
  <conditionalFormatting sqref="L86">
    <cfRule type="cellIs" dxfId="1" priority="15" operator="equal">
      <formula>"Any loss Unacceptable"</formula>
    </cfRule>
  </conditionalFormatting>
  <conditionalFormatting sqref="F39">
    <cfRule type="containsBlanks" dxfId="13" priority="16" stopIfTrue="1">
      <formula>LEN(TRIM(F39))=0</formula>
    </cfRule>
  </conditionalFormatting>
  <conditionalFormatting sqref="F39">
    <cfRule type="expression" dxfId="9" priority="17">
      <formula>ISNUMBER(SEARCH(F39,E39,1))</formula>
    </cfRule>
  </conditionalFormatting>
  <conditionalFormatting sqref="K11:K30">
    <cfRule type="expression" dxfId="14" priority="18">
      <formula>$AI11="Enhancement not possible"</formula>
    </cfRule>
  </conditionalFormatting>
  <conditionalFormatting sqref="I32:N32">
    <cfRule type="containsText" dxfId="1" priority="19" operator="containsText" text="error">
      <formula>NOT(ISERROR(SEARCH(("error"),(I32))))</formula>
    </cfRule>
  </conditionalFormatting>
  <conditionalFormatting sqref="I32:N32">
    <cfRule type="containsText" dxfId="9" priority="20" operator="containsText" text="acceptable">
      <formula>NOT(ISERROR(SEARCH(("acceptable"),(I32))))</formula>
    </cfRule>
  </conditionalFormatting>
  <conditionalFormatting sqref="J2">
    <cfRule type="containsText" dxfId="1" priority="21" operator="containsText" text="Technical">
      <formula>NOT(ISERROR(SEARCH(("Technical"),(J2))))</formula>
    </cfRule>
  </conditionalFormatting>
  <conditionalFormatting sqref="F40:F57">
    <cfRule type="containsBlanks" dxfId="13" priority="22" stopIfTrue="1">
      <formula>LEN(TRIM(F40))=0</formula>
    </cfRule>
  </conditionalFormatting>
  <conditionalFormatting sqref="F40:F57">
    <cfRule type="expression" dxfId="9" priority="23">
      <formula>ISNUMBER(SEARCH(F40,E40,1))</formula>
    </cfRule>
  </conditionalFormatting>
  <conditionalFormatting sqref="F58">
    <cfRule type="containsBlanks" dxfId="13" priority="24" stopIfTrue="1">
      <formula>LEN(TRIM(F58))=0</formula>
    </cfRule>
  </conditionalFormatting>
  <conditionalFormatting sqref="F58">
    <cfRule type="expression" dxfId="9" priority="25">
      <formula>ISNUMBER(SEARCH(F58,E58,1))</formula>
    </cfRule>
  </conditionalFormatting>
  <conditionalFormatting sqref="AJ66:AJ85">
    <cfRule type="cellIs" dxfId="1" priority="26" operator="equal">
      <formula>"Not Possible"</formula>
    </cfRule>
  </conditionalFormatting>
  <conditionalFormatting sqref="F66:G85">
    <cfRule type="expression" dxfId="16" priority="27">
      <formula>$D66=""</formula>
    </cfRule>
  </conditionalFormatting>
  <conditionalFormatting sqref="E66:E85">
    <cfRule type="cellIs" dxfId="1" priority="28" operator="equal">
      <formula>"Enhancement not possible"</formula>
    </cfRule>
  </conditionalFormatting>
  <conditionalFormatting sqref="M66:M85">
    <cfRule type="cellIs" dxfId="1" priority="29" operator="equal">
      <formula>"Unacceptable Loss"</formula>
    </cfRule>
  </conditionalFormatting>
  <conditionalFormatting sqref="M66:M85">
    <cfRule type="cellIs" dxfId="6" priority="30" operator="equal">
      <formula>"Compensation Agreed"</formula>
    </cfRule>
  </conditionalFormatting>
  <conditionalFormatting sqref="M66:M85">
    <cfRule type="cellIs" dxfId="1" priority="31" operator="equal">
      <formula>"Unacceptable Loss"</formula>
    </cfRule>
  </conditionalFormatting>
  <conditionalFormatting sqref="M66:M85">
    <cfRule type="cellIs" dxfId="1" priority="32" operator="equal">
      <formula>"Unacceptable Loss"</formula>
    </cfRule>
  </conditionalFormatting>
  <conditionalFormatting sqref="M66:M85">
    <cfRule type="cellIs" dxfId="1" priority="33" operator="equal">
      <formula>"Unacceptable Loss"</formula>
    </cfRule>
  </conditionalFormatting>
  <conditionalFormatting sqref="M66:M85">
    <cfRule type="cellIs" dxfId="6" priority="34" operator="equal">
      <formula>"Compensation Agreed"</formula>
    </cfRule>
  </conditionalFormatting>
  <conditionalFormatting sqref="M66:M85">
    <cfRule type="cellIs" dxfId="1" priority="35" operator="equal">
      <formula>"Unacceptable Loss"</formula>
    </cfRule>
  </conditionalFormatting>
  <conditionalFormatting sqref="M66:M85">
    <cfRule type="cellIs" dxfId="1" priority="36" operator="equal">
      <formula>"Unacceptable Loss"</formula>
    </cfRule>
  </conditionalFormatting>
  <conditionalFormatting sqref="M66:M85">
    <cfRule type="cellIs" dxfId="9" priority="37" operator="equal">
      <formula>"Alternative Compensation"</formula>
    </cfRule>
  </conditionalFormatting>
  <conditionalFormatting sqref="L11:M30">
    <cfRule type="expression" dxfId="1" priority="38">
      <formula>"p18=""Avoid"""</formula>
    </cfRule>
  </conditionalFormatting>
  <conditionalFormatting sqref="L11:M30">
    <cfRule type="cellIs" dxfId="1" priority="39" operator="equal">
      <formula>"Any loss Unacceptable"</formula>
    </cfRule>
  </conditionalFormatting>
  <conditionalFormatting sqref="L11:M30">
    <cfRule type="cellIs" dxfId="1" priority="40" operator="equal">
      <formula>"Any loss Unacceptable"</formula>
    </cfRule>
  </conditionalFormatting>
  <conditionalFormatting sqref="N11:N30">
    <cfRule type="containsText" dxfId="1" priority="41" operator="containsText" text="value">
      <formula>NOT(ISERROR(SEARCH(("value"),(N11))))</formula>
    </cfRule>
  </conditionalFormatting>
  <conditionalFormatting sqref="N11:N30">
    <cfRule type="cellIs" dxfId="1" priority="42" operator="equal">
      <formula>"Unacceptable Loss"</formula>
    </cfRule>
  </conditionalFormatting>
  <conditionalFormatting sqref="N11:N30">
    <cfRule type="cellIs" dxfId="1" priority="43" operator="equal">
      <formula>"Unacceptable Loss"</formula>
    </cfRule>
  </conditionalFormatting>
  <conditionalFormatting sqref="N11:N30">
    <cfRule type="cellIs" dxfId="6" priority="44" operator="equal">
      <formula>"Compensation Agreed"</formula>
    </cfRule>
  </conditionalFormatting>
  <conditionalFormatting sqref="N11:N30">
    <cfRule type="cellIs" dxfId="1" priority="45" operator="equal">
      <formula>"Unacceptable Loss"</formula>
    </cfRule>
  </conditionalFormatting>
  <conditionalFormatting sqref="N11:N30">
    <cfRule type="cellIs" dxfId="1" priority="46" operator="equal">
      <formula>"Unacceptable Loss"</formula>
    </cfRule>
  </conditionalFormatting>
  <conditionalFormatting sqref="N11:N30">
    <cfRule type="cellIs" dxfId="6" priority="47" operator="equal">
      <formula>"Compensation Agreed"</formula>
    </cfRule>
  </conditionalFormatting>
  <conditionalFormatting sqref="N11:N30">
    <cfRule type="cellIs" dxfId="1" priority="48" operator="equal">
      <formula>"Unacceptable Loss"</formula>
    </cfRule>
  </conditionalFormatting>
  <conditionalFormatting sqref="N11:N30">
    <cfRule type="cellIs" dxfId="1" priority="49" operator="equal">
      <formula>"Unacceptable Loss"</formula>
    </cfRule>
  </conditionalFormatting>
  <conditionalFormatting sqref="N11:N30">
    <cfRule type="cellIs" dxfId="9" priority="50" operator="equal">
      <formula>"Alternative Compensation"</formula>
    </cfRule>
  </conditionalFormatting>
  <conditionalFormatting sqref="M11:M30">
    <cfRule type="containsText" dxfId="1" priority="51" operator="containsText" text="error">
      <formula>NOT(ISERROR(SEARCH(("error"),(M11))))</formula>
    </cfRule>
  </conditionalFormatting>
  <conditionalFormatting sqref="N11:N30">
    <cfRule type="containsText" dxfId="1" priority="52" operator="containsText" text="▲">
      <formula>NOT(ISERROR(SEARCH(("▲"),(N11))))</formula>
    </cfRule>
  </conditionalFormatting>
  <conditionalFormatting sqref="L11:L30">
    <cfRule type="containsText" dxfId="1" priority="53" operator="containsText" text="value">
      <formula>NOT(ISERROR(SEARCH(("value"),(L11))))</formula>
    </cfRule>
  </conditionalFormatting>
  <conditionalFormatting sqref="L11:L30">
    <cfRule type="containsText" dxfId="1" priority="54" operator="containsText" text="▲">
      <formula>NOT(ISERROR(SEARCH(("▲"),(L11))))</formula>
    </cfRule>
  </conditionalFormatting>
  <conditionalFormatting sqref="L39:M58">
    <cfRule type="cellIs" dxfId="1" priority="55" operator="equal">
      <formula>"Unacceptable Loss"</formula>
    </cfRule>
  </conditionalFormatting>
  <conditionalFormatting sqref="L39:M58">
    <cfRule type="cellIs" dxfId="6" priority="56" operator="equal">
      <formula>"Compensation Agreed"</formula>
    </cfRule>
  </conditionalFormatting>
  <conditionalFormatting sqref="L39:M58">
    <cfRule type="cellIs" dxfId="1" priority="57" operator="equal">
      <formula>"Unacceptable Loss"</formula>
    </cfRule>
  </conditionalFormatting>
  <conditionalFormatting sqref="L39:M58">
    <cfRule type="cellIs" dxfId="1" priority="58" operator="equal">
      <formula>"Unacceptable Loss"</formula>
    </cfRule>
  </conditionalFormatting>
  <conditionalFormatting sqref="L39:M58">
    <cfRule type="cellIs" dxfId="1" priority="59" operator="equal">
      <formula>"Unacceptable Loss"</formula>
    </cfRule>
  </conditionalFormatting>
  <conditionalFormatting sqref="L39:M58">
    <cfRule type="cellIs" dxfId="6" priority="60" operator="equal">
      <formula>"Compensation Agreed"</formula>
    </cfRule>
  </conditionalFormatting>
  <conditionalFormatting sqref="L39:M58">
    <cfRule type="cellIs" dxfId="1" priority="61" operator="equal">
      <formula>"Unacceptable Loss"</formula>
    </cfRule>
  </conditionalFormatting>
  <conditionalFormatting sqref="L39:M58">
    <cfRule type="cellIs" dxfId="1" priority="62" operator="equal">
      <formula>"Unacceptable Loss"</formula>
    </cfRule>
  </conditionalFormatting>
  <conditionalFormatting sqref="L39:M58">
    <cfRule type="cellIs" dxfId="9" priority="63" operator="equal">
      <formula>"Alternative Compensation"</formula>
    </cfRule>
  </conditionalFormatting>
  <conditionalFormatting sqref="L39:N58">
    <cfRule type="containsText" dxfId="1" priority="64" operator="containsText" text="▲">
      <formula>NOT(ISERROR(SEARCH(("▲"),(L39))))</formula>
    </cfRule>
  </conditionalFormatting>
  <conditionalFormatting sqref="L39:N58">
    <cfRule type="containsText" dxfId="1" priority="65" operator="containsText" text="value">
      <formula>NOT(ISERROR(SEARCH(("value"),(L39))))</formula>
    </cfRule>
  </conditionalFormatting>
  <conditionalFormatting sqref="L66:L85">
    <cfRule type="cellIs" dxfId="1" priority="66" operator="equal">
      <formula>"Unacceptable Loss"</formula>
    </cfRule>
  </conditionalFormatting>
  <conditionalFormatting sqref="L66:L85">
    <cfRule type="cellIs" dxfId="6" priority="67" operator="equal">
      <formula>"Compensation Agreed"</formula>
    </cfRule>
  </conditionalFormatting>
  <conditionalFormatting sqref="L66:L85">
    <cfRule type="cellIs" dxfId="1" priority="68" operator="equal">
      <formula>"Unacceptable Loss"</formula>
    </cfRule>
  </conditionalFormatting>
  <conditionalFormatting sqref="L66:L85">
    <cfRule type="cellIs" dxfId="1" priority="69" operator="equal">
      <formula>"Unacceptable Loss"</formula>
    </cfRule>
  </conditionalFormatting>
  <conditionalFormatting sqref="L66:L85">
    <cfRule type="cellIs" dxfId="1" priority="70" operator="equal">
      <formula>"Unacceptable Loss"</formula>
    </cfRule>
  </conditionalFormatting>
  <conditionalFormatting sqref="L66:L85">
    <cfRule type="cellIs" dxfId="6" priority="71" operator="equal">
      <formula>"Compensation Agreed"</formula>
    </cfRule>
  </conditionalFormatting>
  <conditionalFormatting sqref="L66:L85">
    <cfRule type="cellIs" dxfId="1" priority="72" operator="equal">
      <formula>"Unacceptable Loss"</formula>
    </cfRule>
  </conditionalFormatting>
  <conditionalFormatting sqref="L66:L85">
    <cfRule type="cellIs" dxfId="1" priority="73" operator="equal">
      <formula>"Unacceptable Loss"</formula>
    </cfRule>
  </conditionalFormatting>
  <conditionalFormatting sqref="L66:L85">
    <cfRule type="cellIs" dxfId="9" priority="74" operator="equal">
      <formula>"Alternative Compensation"</formula>
    </cfRule>
  </conditionalFormatting>
  <conditionalFormatting sqref="L66:L85">
    <cfRule type="containsText" dxfId="1" priority="75" operator="containsText" text="▲">
      <formula>NOT(ISERROR(SEARCH(("▲"),(L66))))</formula>
    </cfRule>
  </conditionalFormatting>
  <conditionalFormatting sqref="I33:N33">
    <cfRule type="containsText" dxfId="1" priority="76" operator="containsText" text="▲">
      <formula>NOT(ISERROR(SEARCH(("▲"),(I33))))</formula>
    </cfRule>
  </conditionalFormatting>
  <conditionalFormatting sqref="I33:N33">
    <cfRule type="containsText" dxfId="9" priority="77" operator="containsText" text=" ✓">
      <formula>NOT(ISERROR(SEARCH((" ✓"),(I33))))</formula>
    </cfRule>
  </conditionalFormatting>
  <conditionalFormatting sqref="P1:P5">
    <cfRule type="containsText" dxfId="1" priority="78" operator="containsText" text="▲">
      <formula>NOT(ISERROR(SEARCH(("▲"),(P1))))</formula>
    </cfRule>
  </conditionalFormatting>
  <conditionalFormatting sqref="M66:N85">
    <cfRule type="containsText" dxfId="1" priority="79" operator="containsText" text="▲">
      <formula>NOT(ISERROR(SEARCH(("▲"),(M66))))</formula>
    </cfRule>
  </conditionalFormatting>
  <conditionalFormatting sqref="I103 I106">
    <cfRule type="containsText" dxfId="1" priority="80" operator="containsText" text="No">
      <formula>NOT(ISERROR(SEARCH(("No"),(I103))))</formula>
    </cfRule>
  </conditionalFormatting>
  <conditionalFormatting sqref="I103 I106">
    <cfRule type="containsText" dxfId="10" priority="81" operator="containsText" text="Yes">
      <formula>NOT(ISERROR(SEARCH(("Yes"),(I103))))</formula>
    </cfRule>
  </conditionalFormatting>
  <dataValidations>
    <dataValidation type="list" allowBlank="1" showErrorMessage="1" sqref="F11:F30 H39:H58 H66:H85">
      <formula1>'11. Lists'!$F$36:$F$37</formula1>
    </dataValidation>
    <dataValidation type="list" allowBlank="1" showErrorMessage="1" sqref="F66:F85">
      <formula1>INDIRECT(BV66)</formula1>
    </dataValidation>
    <dataValidation type="list" allowBlank="1" showErrorMessage="1" sqref="F39:F58">
      <formula1>'11. Lists'!$F$47:$F$51</formula1>
    </dataValidation>
    <dataValidation type="list" allowBlank="1" showErrorMessage="1" sqref="D11:D30 D39:D58">
      <formula1>INDIRECT(SUBSTITUTE(C11," ",""))</formula1>
    </dataValidation>
  </dataValidation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000"/>
    <pageSetUpPr fitToPage="1"/>
  </sheetPr>
  <sheetViews>
    <sheetView workbookViewId="0"/>
  </sheetViews>
  <sheetFormatPr customHeight="1" defaultColWidth="14.43" defaultRowHeight="15.0"/>
  <cols>
    <col customWidth="1" min="1" max="1" width="14.29"/>
    <col customWidth="1" min="2" max="2" width="30.57"/>
    <col customWidth="1" min="3" max="3" width="45.29"/>
    <col customWidth="1" min="4" max="4" width="76.43"/>
    <col customWidth="1" min="5" max="5" width="13.0"/>
    <col customWidth="1" min="6" max="6" width="19.57"/>
    <col customWidth="1" hidden="1" min="7" max="7" width="29.29"/>
    <col customWidth="1" hidden="1" min="8" max="9" width="10.71"/>
    <col customWidth="1" hidden="1" min="10" max="10" width="15.0"/>
    <col customWidth="1" hidden="1" min="11" max="11" width="10.29"/>
    <col customWidth="1" hidden="1" min="12" max="16" width="8.71"/>
    <col customWidth="1" hidden="1" min="17" max="17" width="11.57"/>
    <col customWidth="1" hidden="1" min="18" max="18" width="8.71"/>
    <col customWidth="1" hidden="1" min="19" max="19" width="11.29"/>
    <col customWidth="1" hidden="1" min="20" max="24" width="8.71"/>
    <col customWidth="1" min="25" max="26" width="8.71"/>
  </cols>
  <sheetData>
    <row r="1">
      <c r="A1" s="1"/>
      <c r="B1" s="1"/>
      <c r="C1" s="1"/>
      <c r="D1" s="1"/>
      <c r="E1" s="1"/>
      <c r="F1" s="680"/>
      <c r="G1" s="1"/>
      <c r="H1" s="1"/>
      <c r="I1" s="1"/>
      <c r="J1" s="1"/>
      <c r="K1" s="1"/>
      <c r="L1" s="1"/>
      <c r="M1" s="1"/>
      <c r="N1" s="1"/>
      <c r="O1" s="1"/>
      <c r="P1" s="1"/>
      <c r="Q1" s="1"/>
      <c r="R1" s="1"/>
      <c r="S1" s="1"/>
      <c r="T1" s="1"/>
      <c r="U1" s="1"/>
      <c r="V1" s="1"/>
      <c r="W1" s="1"/>
      <c r="X1" s="1"/>
    </row>
    <row r="2" ht="24.0" customHeight="1">
      <c r="A2" s="1"/>
      <c r="B2" s="121" t="s">
        <v>78</v>
      </c>
      <c r="C2" s="122"/>
      <c r="D2" s="90" t="str">
        <f>IF('2. Site Details'!D4="","Enter site name on 2. Site Details",'2. Site Details'!D4)</f>
        <v>279 Long Lane, Uxbridge</v>
      </c>
      <c r="E2" s="60"/>
      <c r="F2" s="681"/>
      <c r="G2" s="150"/>
      <c r="H2" s="150"/>
      <c r="I2" s="150"/>
      <c r="J2" s="150"/>
      <c r="K2" s="150"/>
      <c r="L2" s="150"/>
      <c r="M2" s="150"/>
      <c r="N2" s="150"/>
      <c r="O2" s="150"/>
      <c r="P2" s="150"/>
      <c r="Q2" s="150"/>
      <c r="R2" s="150"/>
      <c r="S2" s="150"/>
      <c r="T2" s="150"/>
      <c r="U2" s="150"/>
      <c r="V2" s="150"/>
      <c r="W2" s="150"/>
      <c r="X2" s="1"/>
    </row>
    <row r="3" ht="24.0" customHeight="1">
      <c r="A3" s="1"/>
      <c r="B3" s="125" t="s">
        <v>16</v>
      </c>
      <c r="C3" s="51"/>
      <c r="D3" s="92" t="s">
        <v>292</v>
      </c>
      <c r="E3" s="54"/>
      <c r="F3" s="682"/>
      <c r="G3" s="150"/>
      <c r="H3" s="683"/>
      <c r="I3" s="14"/>
      <c r="J3" s="14"/>
      <c r="K3" s="14"/>
      <c r="L3" s="14"/>
      <c r="M3" s="14"/>
      <c r="N3" s="14"/>
      <c r="O3" s="15"/>
      <c r="P3" s="150"/>
      <c r="Q3" s="150"/>
      <c r="R3" s="150"/>
      <c r="S3" s="150"/>
      <c r="T3" s="150"/>
      <c r="U3" s="150"/>
      <c r="V3" s="150"/>
      <c r="W3" s="150"/>
      <c r="X3" s="1"/>
    </row>
    <row r="4" ht="33.75" customHeight="1">
      <c r="A4" s="1"/>
      <c r="B4" s="68" t="s">
        <v>292</v>
      </c>
      <c r="C4" s="1"/>
      <c r="D4" s="1"/>
      <c r="E4" s="1"/>
      <c r="F4" s="682"/>
      <c r="G4" s="150"/>
      <c r="H4" s="150"/>
      <c r="I4" s="150"/>
      <c r="J4" s="150"/>
      <c r="K4" s="150"/>
      <c r="L4" s="150"/>
      <c r="M4" s="150"/>
      <c r="N4" s="150"/>
      <c r="O4" s="150"/>
      <c r="P4" s="150"/>
      <c r="Q4" s="150"/>
      <c r="R4" s="150"/>
      <c r="S4" s="150"/>
      <c r="T4" s="150"/>
      <c r="U4" s="150"/>
      <c r="V4" s="150"/>
      <c r="W4" s="150"/>
      <c r="X4" s="1"/>
    </row>
    <row r="5" ht="24.0" customHeight="1">
      <c r="A5" s="1"/>
      <c r="B5" s="55" t="s">
        <v>293</v>
      </c>
      <c r="C5" s="313"/>
      <c r="D5" s="684" t="str">
        <f>IF(OR(D27&gt;0,D28&gt;0,D29&gt;0),"BNG Targets Not Met ▲","BNG Targets Met ✓")</f>
        <v>BNG Targets Not Met ▲</v>
      </c>
      <c r="E5" s="239"/>
      <c r="F5" s="682"/>
      <c r="G5" s="150"/>
      <c r="H5" s="150"/>
      <c r="I5" s="150"/>
      <c r="J5" s="150"/>
      <c r="K5" s="150"/>
      <c r="L5" s="150"/>
      <c r="M5" s="150"/>
      <c r="N5" s="150"/>
      <c r="O5" s="150"/>
      <c r="P5" s="150"/>
      <c r="Q5" s="150"/>
      <c r="R5" s="150"/>
      <c r="S5" s="150"/>
      <c r="T5" s="150"/>
      <c r="U5" s="150"/>
      <c r="V5" s="150"/>
      <c r="W5" s="150"/>
      <c r="X5" s="1"/>
    </row>
    <row r="6" ht="24.0" customHeight="1">
      <c r="A6" s="1"/>
      <c r="B6" s="1"/>
      <c r="C6" s="1"/>
      <c r="D6" s="685"/>
      <c r="E6" s="685"/>
      <c r="F6" s="682"/>
      <c r="G6" s="150"/>
      <c r="H6" s="150"/>
      <c r="I6" s="150"/>
      <c r="J6" s="150"/>
      <c r="K6" s="150"/>
      <c r="L6" s="150"/>
      <c r="M6" s="150"/>
      <c r="N6" s="150"/>
      <c r="O6" s="150"/>
      <c r="P6" s="150"/>
      <c r="Q6" s="150"/>
      <c r="R6" s="150"/>
      <c r="S6" s="150"/>
      <c r="T6" s="150"/>
      <c r="U6" s="150"/>
      <c r="V6" s="150"/>
      <c r="W6" s="150"/>
      <c r="X6" s="1"/>
    </row>
    <row r="7" ht="24.0" customHeight="1">
      <c r="A7" s="1"/>
      <c r="B7" s="55" t="s">
        <v>294</v>
      </c>
      <c r="C7" s="56"/>
      <c r="D7" s="686" t="str">
        <f>IF('5. Area Habitats'!J108+'5. Area Habitats'!J109+'6. Hedges &amp; Lines of Trees'!J97+'7. Watercourses'!J97&gt;0,"Trading Rules Not Satisfied ▲","Trading Rules Satisfied ✓")</f>
        <v>Trading Rules Not Satisfied ▲</v>
      </c>
      <c r="E7" s="56"/>
      <c r="F7" s="687"/>
      <c r="G7" s="688"/>
      <c r="H7" s="689"/>
      <c r="I7" s="690"/>
      <c r="J7" s="150"/>
      <c r="K7" s="150"/>
      <c r="L7" s="150"/>
      <c r="M7" s="150"/>
      <c r="N7" s="150"/>
      <c r="O7" s="150"/>
      <c r="P7" s="150"/>
      <c r="Q7" s="150"/>
      <c r="R7" s="150"/>
      <c r="S7" s="150"/>
      <c r="T7" s="150"/>
      <c r="U7" s="150"/>
      <c r="V7" s="150"/>
      <c r="W7" s="150"/>
      <c r="X7" s="1"/>
    </row>
    <row r="8" ht="24.0" customHeight="1">
      <c r="A8" s="1"/>
      <c r="B8" s="1"/>
      <c r="C8" s="1"/>
      <c r="D8" s="685"/>
      <c r="E8" s="685"/>
      <c r="F8" s="687"/>
      <c r="G8" s="150"/>
      <c r="H8" s="150"/>
      <c r="I8" s="150"/>
      <c r="J8" s="150"/>
      <c r="K8" s="150"/>
      <c r="L8" s="150"/>
      <c r="M8" s="150"/>
      <c r="N8" s="150"/>
      <c r="O8" s="150"/>
      <c r="P8" s="150"/>
      <c r="Q8" s="150"/>
      <c r="R8" s="150"/>
      <c r="S8" s="150"/>
      <c r="T8" s="150"/>
      <c r="U8" s="150"/>
      <c r="V8" s="150"/>
      <c r="W8" s="150"/>
      <c r="X8" s="1"/>
    </row>
    <row r="9" ht="24.0" customHeight="1">
      <c r="A9" s="1"/>
      <c r="B9" s="55" t="s">
        <v>295</v>
      </c>
      <c r="C9" s="313"/>
      <c r="D9" s="691" t="str">
        <f>IF(OR(D5="BNG Targets Not Met ▲",D7="Trading Rules Not Satisfied ▲"),"Scheme alterations or offsite units required","Check for input errors/rule breaks present in the metric ⚠")</f>
        <v>Scheme alterations or offsite units required</v>
      </c>
      <c r="E9" s="239"/>
      <c r="F9" s="682"/>
      <c r="G9" s="692"/>
      <c r="H9" s="692"/>
      <c r="I9" s="692"/>
      <c r="J9" s="692"/>
      <c r="K9" s="692"/>
      <c r="L9" s="692"/>
      <c r="M9" s="692"/>
      <c r="N9" s="692"/>
      <c r="O9" s="692"/>
      <c r="P9" s="692"/>
      <c r="Q9" s="693"/>
      <c r="R9" s="692"/>
      <c r="S9" s="150"/>
      <c r="T9" s="150"/>
      <c r="U9" s="150"/>
      <c r="V9" s="150"/>
      <c r="W9" s="150"/>
      <c r="X9" s="1"/>
    </row>
    <row r="10" ht="43.5" customHeight="1">
      <c r="A10" s="1"/>
      <c r="B10" s="1"/>
      <c r="C10" s="1"/>
      <c r="D10" s="694"/>
      <c r="E10" s="695"/>
      <c r="F10" s="682" t="s">
        <v>296</v>
      </c>
      <c r="G10" s="692"/>
      <c r="H10" s="692"/>
      <c r="I10" s="692"/>
      <c r="J10" s="692"/>
      <c r="K10" s="692"/>
      <c r="L10" s="692"/>
      <c r="M10" s="692"/>
      <c r="N10" s="692"/>
      <c r="O10" s="692"/>
      <c r="P10" s="692"/>
      <c r="Q10" s="693"/>
      <c r="R10" s="692"/>
      <c r="S10" s="150"/>
      <c r="T10" s="150"/>
      <c r="U10" s="150"/>
      <c r="V10" s="150"/>
      <c r="W10" s="150"/>
      <c r="X10" s="1"/>
    </row>
    <row r="11" ht="24.0" customHeight="1">
      <c r="A11" s="1"/>
      <c r="B11" s="696" t="s">
        <v>297</v>
      </c>
      <c r="C11" s="697" t="s">
        <v>298</v>
      </c>
      <c r="D11" s="698">
        <f>IF('5. Area Habitats'!L32=0,"Zero Units Baseline",'5. Area Habitats'!L32)</f>
        <v>0.610227328</v>
      </c>
      <c r="E11" s="699"/>
      <c r="F11" s="682">
        <f>('2. Site Details'!$D$13/100)*$D$11</f>
        <v>0.0610227328</v>
      </c>
      <c r="G11" s="700"/>
      <c r="H11" s="692"/>
      <c r="I11" s="692"/>
      <c r="J11" s="692"/>
      <c r="K11" s="692"/>
      <c r="L11" s="692"/>
      <c r="M11" s="692"/>
      <c r="N11" s="692"/>
      <c r="O11" s="692"/>
      <c r="P11" s="692"/>
      <c r="Q11" s="693"/>
      <c r="R11" s="692"/>
      <c r="S11" s="150"/>
      <c r="T11" s="150"/>
      <c r="U11" s="150"/>
      <c r="V11" s="150"/>
      <c r="W11" s="150"/>
      <c r="X11" s="1"/>
    </row>
    <row r="12" ht="24.0" customHeight="1">
      <c r="A12" s="1"/>
      <c r="B12" s="581"/>
      <c r="C12" s="701" t="s">
        <v>299</v>
      </c>
      <c r="D12" s="702">
        <f>IF('6. Hedges &amp; Lines of Trees'!L31=0,"Zero Units Baseline",'6. Hedges &amp; Lines of Trees'!L31)</f>
        <v>0.16</v>
      </c>
      <c r="E12" s="703"/>
      <c r="F12" s="682">
        <f>('2. Site Details'!$D$14/100)*$D$12</f>
        <v>0.016</v>
      </c>
      <c r="G12" s="704"/>
      <c r="H12" s="692"/>
      <c r="I12" s="692"/>
      <c r="J12" s="692"/>
      <c r="K12" s="692"/>
      <c r="L12" s="692"/>
      <c r="M12" s="692"/>
      <c r="N12" s="692"/>
      <c r="O12" s="692"/>
      <c r="P12" s="692"/>
      <c r="Q12" s="693"/>
      <c r="R12" s="692"/>
      <c r="S12" s="150"/>
      <c r="T12" s="150"/>
      <c r="U12" s="150"/>
      <c r="V12" s="150"/>
      <c r="W12" s="150"/>
      <c r="X12" s="1"/>
    </row>
    <row r="13" ht="24.0" customHeight="1">
      <c r="A13" s="1"/>
      <c r="B13" s="138"/>
      <c r="C13" s="705" t="s">
        <v>300</v>
      </c>
      <c r="D13" s="706" t="str">
        <f>IF('7. Watercourses'!L31=0,"Zero Units Baseline",'7. Watercourses'!L31)</f>
        <v>Zero Units Baseline</v>
      </c>
      <c r="E13" s="707"/>
      <c r="F13" s="682" t="str">
        <f>('2. Site Details'!$D$15/100)*$D$13</f>
        <v>#VALUE!</v>
      </c>
      <c r="G13" s="708"/>
      <c r="H13" s="692"/>
      <c r="I13" s="692"/>
      <c r="J13" s="692"/>
      <c r="K13" s="692"/>
      <c r="L13" s="692"/>
      <c r="M13" s="692"/>
      <c r="N13" s="692"/>
      <c r="O13" s="692"/>
      <c r="P13" s="692"/>
      <c r="Q13" s="693"/>
      <c r="R13" s="692"/>
      <c r="S13" s="150"/>
      <c r="T13" s="150"/>
      <c r="U13" s="150"/>
      <c r="V13" s="150"/>
      <c r="W13" s="150"/>
      <c r="X13" s="1"/>
    </row>
    <row r="14" ht="24.0" customHeight="1">
      <c r="A14" s="1"/>
      <c r="B14" s="1"/>
      <c r="C14" s="1"/>
      <c r="D14" s="685"/>
      <c r="E14" s="685"/>
      <c r="F14" s="682" t="s">
        <v>301</v>
      </c>
      <c r="G14" s="692"/>
      <c r="H14" s="692"/>
      <c r="I14" s="692"/>
      <c r="J14" s="692"/>
      <c r="K14" s="692"/>
      <c r="L14" s="692"/>
      <c r="M14" s="692"/>
      <c r="N14" s="692"/>
      <c r="O14" s="692"/>
      <c r="P14" s="692"/>
      <c r="Q14" s="693"/>
      <c r="R14" s="692"/>
      <c r="S14" s="150"/>
      <c r="T14" s="150"/>
      <c r="U14" s="150"/>
      <c r="V14" s="150"/>
      <c r="W14" s="150"/>
      <c r="X14" s="1"/>
    </row>
    <row r="15" ht="24.0" customHeight="1">
      <c r="A15" s="1"/>
      <c r="B15" s="696" t="s">
        <v>302</v>
      </c>
      <c r="C15" s="697" t="s">
        <v>298</v>
      </c>
      <c r="D15" s="698">
        <f>'5. Area Habitats'!P3+'5. Area Habitats'!P4+'5. Area Habitats'!P1</f>
        <v>0.450646632</v>
      </c>
      <c r="E15" s="699"/>
      <c r="F15" s="709">
        <f t="shared" ref="F15:F17" si="1">D11+F11</f>
        <v>0.6712500608</v>
      </c>
      <c r="G15" s="692"/>
      <c r="H15" s="692"/>
      <c r="I15" s="692"/>
      <c r="J15" s="692"/>
      <c r="K15" s="692"/>
      <c r="L15" s="692"/>
      <c r="M15" s="692"/>
      <c r="N15" s="692"/>
      <c r="O15" s="692"/>
      <c r="P15" s="692"/>
      <c r="Q15" s="693"/>
      <c r="R15" s="692"/>
      <c r="S15" s="150"/>
      <c r="T15" s="150"/>
      <c r="U15" s="150"/>
      <c r="V15" s="150"/>
      <c r="W15" s="150"/>
      <c r="X15" s="1"/>
    </row>
    <row r="16" ht="24.0" customHeight="1">
      <c r="A16" s="1"/>
      <c r="B16" s="581"/>
      <c r="C16" s="701" t="s">
        <v>299</v>
      </c>
      <c r="D16" s="702">
        <f>'6. Hedges &amp; Lines of Trees'!P3+'6. Hedges &amp; Lines of Trees'!P4+'6. Hedges &amp; Lines of Trees'!P1</f>
        <v>0.151</v>
      </c>
      <c r="E16" s="703"/>
      <c r="F16" s="709">
        <f t="shared" si="1"/>
        <v>0.176</v>
      </c>
      <c r="G16" s="692"/>
      <c r="H16" s="692"/>
      <c r="I16" s="692"/>
      <c r="J16" s="692"/>
      <c r="K16" s="692"/>
      <c r="L16" s="692"/>
      <c r="M16" s="692"/>
      <c r="N16" s="692"/>
      <c r="O16" s="692"/>
      <c r="P16" s="692"/>
      <c r="Q16" s="693"/>
      <c r="R16" s="692"/>
      <c r="S16" s="150"/>
      <c r="T16" s="150"/>
      <c r="U16" s="150"/>
      <c r="V16" s="150"/>
      <c r="W16" s="150"/>
      <c r="X16" s="1"/>
    </row>
    <row r="17" ht="24.0" customHeight="1">
      <c r="A17" s="1"/>
      <c r="B17" s="138"/>
      <c r="C17" s="705" t="s">
        <v>300</v>
      </c>
      <c r="D17" s="706">
        <f>'7. Watercourses'!P3+'7. Watercourses'!P4+'7. Watercourses'!P1</f>
        <v>0</v>
      </c>
      <c r="E17" s="707"/>
      <c r="F17" s="709" t="str">
        <f t="shared" si="1"/>
        <v>#VALUE!</v>
      </c>
      <c r="G17" s="692"/>
      <c r="H17" s="692"/>
      <c r="I17" s="692"/>
      <c r="J17" s="692"/>
      <c r="K17" s="692"/>
      <c r="L17" s="692"/>
      <c r="M17" s="692"/>
      <c r="N17" s="692"/>
      <c r="O17" s="692"/>
      <c r="P17" s="692"/>
      <c r="Q17" s="693"/>
      <c r="R17" s="692"/>
      <c r="S17" s="150"/>
      <c r="T17" s="150"/>
      <c r="U17" s="150"/>
      <c r="V17" s="150"/>
      <c r="W17" s="150"/>
      <c r="X17" s="1"/>
    </row>
    <row r="18" ht="24.0" customHeight="1">
      <c r="A18" s="1"/>
      <c r="B18" s="1"/>
      <c r="C18" s="1"/>
      <c r="D18" s="685"/>
      <c r="E18" s="685"/>
      <c r="F18" s="682"/>
      <c r="G18" s="692"/>
      <c r="H18" s="692"/>
      <c r="I18" s="692"/>
      <c r="J18" s="692"/>
      <c r="K18" s="692"/>
      <c r="L18" s="692"/>
      <c r="M18" s="692"/>
      <c r="N18" s="692"/>
      <c r="O18" s="692"/>
      <c r="P18" s="692"/>
      <c r="Q18" s="693"/>
      <c r="R18" s="692"/>
      <c r="S18" s="150"/>
      <c r="T18" s="150"/>
      <c r="U18" s="150"/>
      <c r="V18" s="150"/>
      <c r="W18" s="150"/>
      <c r="X18" s="1"/>
    </row>
    <row r="19" ht="24.0" customHeight="1">
      <c r="A19" s="1"/>
      <c r="B19" s="696" t="s">
        <v>303</v>
      </c>
      <c r="C19" s="710" t="s">
        <v>298</v>
      </c>
      <c r="D19" s="711">
        <f>'5. Area Habitats'!P5</f>
        <v>-0.159580696</v>
      </c>
      <c r="E19" s="712" t="str">
        <f t="array" ref="E19">IFS(D19&gt;=F11,"✓",D19&lt;0,"▲", D19&lt;F11,"⚠")</f>
        <v>▲</v>
      </c>
      <c r="F19" s="713">
        <f t="shared" ref="F19:F21" si="2">F11/D11</f>
        <v>0.1</v>
      </c>
      <c r="G19" s="692"/>
      <c r="H19" s="692"/>
      <c r="I19" s="692"/>
      <c r="J19" s="692"/>
      <c r="K19" s="692"/>
      <c r="L19" s="692"/>
      <c r="M19" s="692"/>
      <c r="N19" s="692"/>
      <c r="O19" s="692"/>
      <c r="P19" s="692"/>
      <c r="Q19" s="693"/>
      <c r="R19" s="692"/>
      <c r="S19" s="150"/>
      <c r="T19" s="150"/>
      <c r="U19" s="150"/>
      <c r="V19" s="150"/>
      <c r="W19" s="150"/>
      <c r="X19" s="1"/>
    </row>
    <row r="20" ht="24.0" customHeight="1">
      <c r="A20" s="1"/>
      <c r="B20" s="581"/>
      <c r="C20" s="714" t="s">
        <v>299</v>
      </c>
      <c r="D20" s="715">
        <f>'6. Hedges &amp; Lines of Trees'!P5</f>
        <v>-0.009</v>
      </c>
      <c r="E20" s="716" t="str">
        <f t="array" ref="E20">IFS(D20&gt;=F12,"✓",D20&lt;0,"▲", D20&lt;F12,"⚠")</f>
        <v>▲</v>
      </c>
      <c r="F20" s="713">
        <f t="shared" si="2"/>
        <v>0.1</v>
      </c>
      <c r="G20" s="692"/>
      <c r="H20" s="692"/>
      <c r="I20" s="692"/>
      <c r="J20" s="692"/>
      <c r="K20" s="692"/>
      <c r="L20" s="692"/>
      <c r="M20" s="692"/>
      <c r="N20" s="692"/>
      <c r="O20" s="692"/>
      <c r="P20" s="692"/>
      <c r="Q20" s="693"/>
      <c r="R20" s="692"/>
      <c r="S20" s="150"/>
      <c r="T20" s="150"/>
      <c r="U20" s="150"/>
      <c r="V20" s="150"/>
      <c r="W20" s="150"/>
      <c r="X20" s="1"/>
    </row>
    <row r="21" ht="24.0" customHeight="1">
      <c r="A21" s="1"/>
      <c r="B21" s="138"/>
      <c r="C21" s="717" t="s">
        <v>300</v>
      </c>
      <c r="D21" s="718">
        <f>'7. Watercourses'!P5</f>
        <v>0</v>
      </c>
      <c r="E21" s="719" t="str">
        <f t="array" ref="E21">IFS(D21&gt;=F13,"✓",D21&lt;0,"▲", D21&lt;F13,"⚠")</f>
        <v>#VALUE!</v>
      </c>
      <c r="F21" s="713" t="str">
        <f t="shared" si="2"/>
        <v>#VALUE!</v>
      </c>
      <c r="G21" s="692"/>
      <c r="H21" s="692"/>
      <c r="I21" s="692"/>
      <c r="J21" s="692"/>
      <c r="K21" s="692"/>
      <c r="L21" s="692"/>
      <c r="M21" s="692"/>
      <c r="N21" s="692"/>
      <c r="O21" s="692"/>
      <c r="P21" s="692"/>
      <c r="Q21" s="693"/>
      <c r="R21" s="692"/>
      <c r="S21" s="150"/>
      <c r="T21" s="150"/>
      <c r="U21" s="150"/>
      <c r="V21" s="150"/>
      <c r="W21" s="150"/>
      <c r="X21" s="1"/>
    </row>
    <row r="22" ht="24.0" customHeight="1">
      <c r="A22" s="1"/>
      <c r="B22" s="720"/>
      <c r="C22" s="70"/>
      <c r="D22" s="58"/>
      <c r="E22" s="58"/>
      <c r="F22" s="682"/>
      <c r="G22" s="692"/>
      <c r="H22" s="692"/>
      <c r="I22" s="692"/>
      <c r="J22" s="692"/>
      <c r="K22" s="692"/>
      <c r="L22" s="692"/>
      <c r="M22" s="692"/>
      <c r="N22" s="692"/>
      <c r="O22" s="692"/>
      <c r="P22" s="692"/>
      <c r="Q22" s="693"/>
      <c r="R22" s="692"/>
      <c r="S22" s="150"/>
      <c r="T22" s="150"/>
      <c r="U22" s="150"/>
      <c r="V22" s="150"/>
      <c r="W22" s="150"/>
      <c r="X22" s="1"/>
    </row>
    <row r="23" ht="24.0" customHeight="1">
      <c r="A23" s="1"/>
      <c r="B23" s="696" t="s">
        <v>304</v>
      </c>
      <c r="C23" s="710" t="s">
        <v>298</v>
      </c>
      <c r="D23" s="721">
        <f t="shared" ref="D23:D25" si="3">IF(D11="Zero Units Baseline","% target not appropriate",D19/D11)</f>
        <v>-0.2615102416</v>
      </c>
      <c r="E23" s="722" t="str">
        <f t="array" ref="E23">IFS(D23&gt;=F19,"✓",D23&lt;0,"▲", D23&lt;F19,"⚠")</f>
        <v>▲</v>
      </c>
      <c r="F23" s="682">
        <f>$D$23*100</f>
        <v>-26.15102416</v>
      </c>
      <c r="G23" s="692"/>
      <c r="H23" s="692"/>
      <c r="I23" s="692"/>
      <c r="J23" s="692"/>
      <c r="K23" s="692"/>
      <c r="L23" s="692"/>
      <c r="M23" s="692"/>
      <c r="N23" s="692"/>
      <c r="O23" s="692"/>
      <c r="P23" s="692"/>
      <c r="Q23" s="693"/>
      <c r="R23" s="692"/>
      <c r="S23" s="150"/>
      <c r="T23" s="150"/>
      <c r="U23" s="150"/>
      <c r="V23" s="150"/>
      <c r="W23" s="150"/>
      <c r="X23" s="1"/>
    </row>
    <row r="24" ht="24.0" customHeight="1">
      <c r="A24" s="1"/>
      <c r="B24" s="581"/>
      <c r="C24" s="714" t="s">
        <v>299</v>
      </c>
      <c r="D24" s="723">
        <f t="shared" si="3"/>
        <v>-0.05625</v>
      </c>
      <c r="E24" s="724" t="str">
        <f t="array" ref="E24">IFS(D24&gt;=F20,"✓",D24&lt;0,"▲", D24&lt;F20,"⚠")</f>
        <v>▲</v>
      </c>
      <c r="F24" s="682">
        <f>$D$24*100</f>
        <v>-5.625</v>
      </c>
      <c r="G24" s="692"/>
      <c r="H24" s="692"/>
      <c r="I24" s="692"/>
      <c r="J24" s="692"/>
      <c r="K24" s="692"/>
      <c r="L24" s="692"/>
      <c r="M24" s="692"/>
      <c r="N24" s="692"/>
      <c r="O24" s="692"/>
      <c r="P24" s="692"/>
      <c r="Q24" s="693"/>
      <c r="R24" s="692"/>
      <c r="S24" s="150"/>
      <c r="T24" s="150"/>
      <c r="U24" s="150"/>
      <c r="V24" s="150"/>
      <c r="W24" s="150"/>
      <c r="X24" s="1"/>
    </row>
    <row r="25" ht="24.0" customHeight="1">
      <c r="A25" s="1"/>
      <c r="B25" s="138"/>
      <c r="C25" s="717" t="s">
        <v>300</v>
      </c>
      <c r="D25" s="725" t="str">
        <f t="shared" si="3"/>
        <v>% target not appropriate</v>
      </c>
      <c r="E25" s="726" t="str">
        <f t="array" ref="E25">IFS(D25&gt;=F21,"✓",D25&lt;0,"▲", D25&lt;F21,"⚠")</f>
        <v>#VALUE!</v>
      </c>
      <c r="F25" s="682" t="str">
        <f>$D$25*100</f>
        <v>#VALUE!</v>
      </c>
      <c r="G25" s="692"/>
      <c r="H25" s="692"/>
      <c r="I25" s="692"/>
      <c r="J25" s="692"/>
      <c r="K25" s="692"/>
      <c r="L25" s="692"/>
      <c r="M25" s="692"/>
      <c r="N25" s="692"/>
      <c r="O25" s="692"/>
      <c r="P25" s="692"/>
      <c r="Q25" s="693"/>
      <c r="R25" s="692"/>
      <c r="S25" s="150"/>
      <c r="T25" s="150"/>
      <c r="U25" s="150"/>
      <c r="V25" s="150"/>
      <c r="W25" s="150"/>
      <c r="X25" s="1"/>
    </row>
    <row r="26" ht="24.0" customHeight="1">
      <c r="A26" s="1"/>
      <c r="B26" s="1"/>
      <c r="C26" s="1"/>
      <c r="D26" s="685"/>
      <c r="E26" s="685"/>
      <c r="F26" s="682"/>
      <c r="G26" s="692"/>
      <c r="H26" s="692"/>
      <c r="I26" s="692"/>
      <c r="J26" s="692"/>
      <c r="K26" s="692"/>
      <c r="L26" s="692"/>
      <c r="M26" s="692"/>
      <c r="N26" s="692"/>
      <c r="O26" s="692"/>
      <c r="P26" s="692"/>
      <c r="Q26" s="693"/>
      <c r="R26" s="692"/>
      <c r="S26" s="150"/>
      <c r="T26" s="150"/>
      <c r="U26" s="150"/>
      <c r="V26" s="150"/>
      <c r="W26" s="150"/>
      <c r="X26" s="1"/>
    </row>
    <row r="27" ht="24.0" customHeight="1">
      <c r="A27" s="1"/>
      <c r="B27" s="59" t="s">
        <v>305</v>
      </c>
      <c r="C27" s="122"/>
      <c r="D27" s="727">
        <f>IFERROR(IF(D11="Zero Units Baseline",IF('2. Site Details'!D17&lt;=D15,0,'2. Site Details'!D17-D15),(IF((D11*(1+('2. Site Details'!D13/100)))-D15&lt;0,0,F15-D15))),"")</f>
        <v>0.2206034288</v>
      </c>
      <c r="E27" s="60"/>
      <c r="F27" s="682"/>
      <c r="G27" s="692"/>
      <c r="H27" s="692"/>
      <c r="I27" s="692"/>
      <c r="J27" s="692"/>
      <c r="K27" s="692"/>
      <c r="L27" s="692"/>
      <c r="M27" s="692"/>
      <c r="N27" s="692"/>
      <c r="O27" s="692"/>
      <c r="P27" s="692"/>
      <c r="Q27" s="693"/>
      <c r="R27" s="692"/>
      <c r="S27" s="150"/>
      <c r="T27" s="150"/>
      <c r="U27" s="150"/>
      <c r="V27" s="150"/>
      <c r="W27" s="150"/>
      <c r="X27" s="1"/>
    </row>
    <row r="28" ht="24.0" customHeight="1">
      <c r="A28" s="1"/>
      <c r="B28" s="62" t="s">
        <v>306</v>
      </c>
      <c r="C28" s="47"/>
      <c r="D28" s="728">
        <f>IFERROR(IF(D12="Zero Units Baseline",IF('2. Site Details'!D18&lt;=D16,0,'2. Site Details'!D18-D16),(IF((D12*(1+('2. Site Details'!D14/100)))-D16&lt;0,0,F16-D16))),"")</f>
        <v>0.025</v>
      </c>
      <c r="E28" s="43"/>
      <c r="F28" s="682"/>
      <c r="G28" s="729"/>
      <c r="H28" s="692"/>
      <c r="I28" s="692"/>
      <c r="J28" s="692"/>
      <c r="K28" s="692"/>
      <c r="L28" s="692"/>
      <c r="M28" s="692"/>
      <c r="N28" s="692"/>
      <c r="O28" s="692"/>
      <c r="P28" s="692"/>
      <c r="Q28" s="693"/>
      <c r="R28" s="692"/>
      <c r="S28" s="150"/>
      <c r="T28" s="150"/>
      <c r="U28" s="150"/>
      <c r="V28" s="150"/>
      <c r="W28" s="150"/>
      <c r="X28" s="1"/>
    </row>
    <row r="29" ht="24.0" customHeight="1">
      <c r="A29" s="1"/>
      <c r="B29" s="66" t="s">
        <v>307</v>
      </c>
      <c r="C29" s="51"/>
      <c r="D29" s="730">
        <f>IFERROR(IF(D13="Zero Units Baseline",IF('2. Site Details'!D19&lt;=D17,0,'2. Site Details'!D19-D17),(IF((D13*(1+('2. Site Details'!D15/100)))-D17&lt;0,0,F17-D17))),"")</f>
        <v>0</v>
      </c>
      <c r="E29" s="54"/>
      <c r="F29" s="682"/>
      <c r="G29" s="692"/>
      <c r="H29" s="692"/>
      <c r="I29" s="692"/>
      <c r="J29" s="692"/>
      <c r="K29" s="692"/>
      <c r="L29" s="692"/>
      <c r="M29" s="692"/>
      <c r="N29" s="692"/>
      <c r="O29" s="692"/>
      <c r="P29" s="692"/>
      <c r="Q29" s="693"/>
      <c r="R29" s="692"/>
      <c r="S29" s="150"/>
      <c r="T29" s="150"/>
      <c r="U29" s="150"/>
      <c r="V29" s="150"/>
      <c r="W29" s="150"/>
      <c r="X29" s="1"/>
    </row>
    <row r="30" ht="9.75" customHeight="1">
      <c r="A30" s="1"/>
      <c r="B30" s="1"/>
      <c r="C30" s="1"/>
      <c r="D30" s="685"/>
      <c r="E30" s="685"/>
      <c r="F30" s="682"/>
      <c r="G30" s="692"/>
      <c r="H30" s="692"/>
      <c r="I30" s="692"/>
      <c r="J30" s="692"/>
      <c r="K30" s="692"/>
      <c r="L30" s="692"/>
      <c r="M30" s="692"/>
      <c r="N30" s="692"/>
      <c r="O30" s="692"/>
      <c r="P30" s="692"/>
      <c r="Q30" s="693"/>
      <c r="R30" s="692"/>
      <c r="S30" s="150"/>
      <c r="T30" s="150"/>
      <c r="U30" s="150"/>
      <c r="V30" s="150"/>
      <c r="W30" s="150"/>
      <c r="X30" s="1"/>
    </row>
    <row r="31" ht="19.5" customHeight="1">
      <c r="A31" s="1"/>
      <c r="B31" s="68"/>
      <c r="C31" s="1"/>
      <c r="D31" s="685"/>
      <c r="E31" s="685"/>
      <c r="F31" s="682"/>
      <c r="G31" s="692"/>
      <c r="H31" s="692"/>
      <c r="I31" s="692"/>
      <c r="J31" s="692"/>
      <c r="K31" s="692"/>
      <c r="L31" s="692"/>
      <c r="M31" s="692"/>
      <c r="N31" s="692"/>
      <c r="O31" s="692"/>
      <c r="P31" s="692"/>
      <c r="Q31" s="693"/>
      <c r="R31" s="692"/>
      <c r="S31" s="150"/>
      <c r="T31" s="150"/>
      <c r="U31" s="150"/>
      <c r="V31" s="150"/>
      <c r="W31" s="150"/>
      <c r="X31" s="1"/>
    </row>
    <row r="32" ht="9.0" customHeight="1">
      <c r="A32" s="1"/>
      <c r="B32" s="1"/>
      <c r="C32" s="1"/>
      <c r="D32" s="685"/>
      <c r="E32" s="685"/>
      <c r="F32" s="682"/>
      <c r="G32" s="1"/>
      <c r="H32" s="692"/>
      <c r="I32" s="692"/>
      <c r="J32" s="692"/>
      <c r="K32" s="692"/>
      <c r="L32" s="692"/>
      <c r="M32" s="692"/>
      <c r="N32" s="692"/>
      <c r="O32" s="692"/>
      <c r="P32" s="692"/>
      <c r="Q32" s="693"/>
      <c r="R32" s="692"/>
      <c r="S32" s="150"/>
      <c r="T32" s="150"/>
      <c r="U32" s="150"/>
      <c r="V32" s="150"/>
      <c r="W32" s="150"/>
      <c r="X32" s="1"/>
    </row>
    <row r="33" ht="23.25" customHeight="1">
      <c r="A33" s="1"/>
      <c r="B33" s="68" t="s">
        <v>308</v>
      </c>
      <c r="C33" s="1"/>
      <c r="D33" s="685"/>
      <c r="E33" s="685"/>
      <c r="F33" s="682"/>
      <c r="G33" s="692"/>
      <c r="H33" s="692"/>
      <c r="I33" s="692"/>
      <c r="J33" s="692"/>
      <c r="K33" s="692"/>
      <c r="L33" s="692"/>
      <c r="M33" s="692"/>
      <c r="N33" s="692"/>
      <c r="O33" s="692"/>
      <c r="P33" s="692"/>
      <c r="Q33" s="693"/>
      <c r="R33" s="692"/>
      <c r="S33" s="1"/>
      <c r="T33" s="1"/>
      <c r="U33" s="1"/>
      <c r="V33" s="1"/>
      <c r="W33" s="1"/>
      <c r="X33" s="1"/>
    </row>
    <row r="34" ht="23.25" customHeight="1">
      <c r="A34" s="692"/>
      <c r="B34" s="68"/>
      <c r="C34" s="1"/>
      <c r="D34" s="685"/>
      <c r="E34" s="685"/>
      <c r="F34" s="682"/>
      <c r="G34" s="1"/>
      <c r="H34" s="1"/>
      <c r="I34" s="1"/>
      <c r="J34" s="1"/>
      <c r="K34" s="1"/>
      <c r="L34" s="1"/>
      <c r="M34" s="1"/>
      <c r="N34" s="1"/>
      <c r="O34" s="1"/>
      <c r="P34" s="692"/>
      <c r="Q34" s="693"/>
      <c r="R34" s="692"/>
      <c r="S34" s="692"/>
      <c r="T34" s="692"/>
      <c r="U34" s="692"/>
      <c r="V34" s="692"/>
      <c r="W34" s="692"/>
      <c r="X34" s="692"/>
      <c r="Y34" s="731"/>
      <c r="Z34" s="731"/>
    </row>
    <row r="35" ht="23.25" customHeight="1">
      <c r="A35" s="692"/>
      <c r="B35" s="1"/>
      <c r="C35" s="1" t="s">
        <v>309</v>
      </c>
      <c r="D35" s="1" t="s">
        <v>310</v>
      </c>
      <c r="E35" s="150"/>
      <c r="F35" s="682"/>
      <c r="G35" s="1"/>
      <c r="H35" s="1"/>
      <c r="I35" s="1"/>
      <c r="J35" s="1"/>
      <c r="K35" s="1"/>
      <c r="L35" s="1"/>
      <c r="M35" s="1"/>
      <c r="N35" s="1"/>
      <c r="O35" s="1"/>
      <c r="P35" s="692"/>
      <c r="Q35" s="693"/>
      <c r="R35" s="692"/>
      <c r="S35" s="692"/>
      <c r="T35" s="692"/>
      <c r="U35" s="692"/>
      <c r="V35" s="692"/>
      <c r="W35" s="692"/>
      <c r="X35" s="692"/>
      <c r="Y35" s="731"/>
      <c r="Z35" s="731"/>
    </row>
    <row r="36" ht="23.25" customHeight="1">
      <c r="A36" s="1"/>
      <c r="B36" s="732" t="s">
        <v>311</v>
      </c>
      <c r="C36" s="733">
        <f t="shared" ref="C36:C38" si="4">IF(D11="Zero Units Baseline",0,D11)</f>
        <v>0.610227328</v>
      </c>
      <c r="D36" s="733">
        <f t="shared" ref="D36:D38" si="5">D15</f>
        <v>0.450646632</v>
      </c>
      <c r="E36" s="150"/>
      <c r="F36" s="682"/>
      <c r="G36" s="1"/>
      <c r="H36" s="1"/>
      <c r="I36" s="1"/>
      <c r="J36" s="1"/>
      <c r="K36" s="1"/>
      <c r="L36" s="1"/>
      <c r="M36" s="1"/>
      <c r="N36" s="1"/>
      <c r="O36" s="1"/>
      <c r="P36" s="1"/>
      <c r="Q36" s="693"/>
      <c r="R36" s="692"/>
      <c r="S36" s="692"/>
      <c r="T36" s="692"/>
      <c r="U36" s="692"/>
      <c r="V36" s="692"/>
      <c r="W36" s="692"/>
      <c r="X36" s="1"/>
    </row>
    <row r="37" ht="23.25" customHeight="1">
      <c r="A37" s="1"/>
      <c r="B37" s="732" t="s">
        <v>299</v>
      </c>
      <c r="C37" s="733">
        <f t="shared" si="4"/>
        <v>0.16</v>
      </c>
      <c r="D37" s="733">
        <f t="shared" si="5"/>
        <v>0.151</v>
      </c>
      <c r="E37" s="150"/>
      <c r="F37" s="682"/>
      <c r="G37" s="1"/>
      <c r="H37" s="1"/>
      <c r="I37" s="1"/>
      <c r="J37" s="1"/>
      <c r="K37" s="1"/>
      <c r="L37" s="1"/>
      <c r="M37" s="1"/>
      <c r="N37" s="1"/>
      <c r="O37" s="1"/>
      <c r="P37" s="1"/>
      <c r="Q37" s="693"/>
      <c r="R37" s="692"/>
      <c r="S37" s="692"/>
      <c r="T37" s="692"/>
      <c r="U37" s="692"/>
      <c r="V37" s="692"/>
      <c r="W37" s="692"/>
      <c r="X37" s="1"/>
    </row>
    <row r="38" ht="23.25" customHeight="1">
      <c r="A38" s="1"/>
      <c r="B38" s="732" t="s">
        <v>312</v>
      </c>
      <c r="C38" s="733">
        <f t="shared" si="4"/>
        <v>0</v>
      </c>
      <c r="D38" s="733">
        <f t="shared" si="5"/>
        <v>0</v>
      </c>
      <c r="E38" s="150"/>
      <c r="F38" s="682"/>
      <c r="G38" s="1"/>
      <c r="H38" s="1"/>
      <c r="I38" s="1"/>
      <c r="J38" s="1"/>
      <c r="K38" s="1"/>
      <c r="L38" s="1"/>
      <c r="M38" s="1"/>
      <c r="N38" s="1"/>
      <c r="O38" s="1"/>
      <c r="P38" s="1"/>
      <c r="Q38" s="693"/>
      <c r="R38" s="692"/>
      <c r="S38" s="692"/>
      <c r="T38" s="692"/>
      <c r="U38" s="692"/>
      <c r="V38" s="692"/>
      <c r="W38" s="692"/>
      <c r="X38" s="1"/>
    </row>
    <row r="39" ht="23.25" customHeight="1">
      <c r="A39" s="1"/>
      <c r="B39" s="68"/>
      <c r="C39" s="1"/>
      <c r="D39" s="685"/>
      <c r="E39" s="685"/>
      <c r="F39" s="682"/>
      <c r="G39" s="1"/>
      <c r="H39" s="1"/>
      <c r="I39" s="1"/>
      <c r="J39" s="1"/>
      <c r="K39" s="1"/>
      <c r="L39" s="1"/>
      <c r="M39" s="1"/>
      <c r="N39" s="1"/>
      <c r="O39" s="1"/>
      <c r="P39" s="1"/>
      <c r="Q39" s="693"/>
      <c r="R39" s="692"/>
      <c r="S39" s="692"/>
      <c r="T39" s="692"/>
      <c r="U39" s="692"/>
      <c r="V39" s="692"/>
      <c r="W39" s="692"/>
      <c r="X39" s="1"/>
    </row>
    <row r="40" ht="23.25" customHeight="1">
      <c r="A40" s="1"/>
      <c r="B40" s="68"/>
      <c r="C40" s="1"/>
      <c r="D40" s="685"/>
      <c r="E40" s="685"/>
      <c r="F40" s="682"/>
      <c r="G40" s="1"/>
      <c r="H40" s="1"/>
      <c r="I40" s="1"/>
      <c r="J40" s="1"/>
      <c r="K40" s="1"/>
      <c r="L40" s="1"/>
      <c r="M40" s="1"/>
      <c r="N40" s="1"/>
      <c r="O40" s="1"/>
      <c r="P40" s="1"/>
      <c r="Q40" s="693"/>
      <c r="R40" s="692"/>
      <c r="S40" s="692"/>
      <c r="T40" s="692"/>
      <c r="U40" s="692"/>
      <c r="V40" s="692"/>
      <c r="W40" s="692"/>
      <c r="X40" s="1"/>
    </row>
    <row r="41" ht="23.25" customHeight="1">
      <c r="A41" s="1"/>
      <c r="B41" s="68"/>
      <c r="C41" s="1"/>
      <c r="D41" s="685"/>
      <c r="E41" s="685"/>
      <c r="F41" s="682"/>
      <c r="G41" s="1"/>
      <c r="H41" s="1"/>
      <c r="I41" s="1"/>
      <c r="J41" s="1"/>
      <c r="K41" s="1"/>
      <c r="L41" s="1"/>
      <c r="M41" s="1"/>
      <c r="N41" s="1"/>
      <c r="O41" s="1"/>
      <c r="P41" s="1"/>
      <c r="Q41" s="693"/>
      <c r="R41" s="692"/>
      <c r="S41" s="692"/>
      <c r="T41" s="692"/>
      <c r="U41" s="692"/>
      <c r="V41" s="692"/>
      <c r="W41" s="692"/>
      <c r="X41" s="1"/>
    </row>
    <row r="42" ht="23.25" customHeight="1">
      <c r="A42" s="1"/>
      <c r="B42" s="68"/>
      <c r="C42" s="1"/>
      <c r="D42" s="685"/>
      <c r="E42" s="685"/>
      <c r="F42" s="682"/>
      <c r="G42" s="720"/>
      <c r="H42" s="720"/>
      <c r="I42" s="720"/>
      <c r="J42" s="720"/>
      <c r="K42" s="720"/>
      <c r="L42" s="720"/>
      <c r="M42" s="734"/>
      <c r="N42" s="734"/>
      <c r="O42" s="1"/>
      <c r="P42" s="1"/>
      <c r="Q42" s="693"/>
      <c r="R42" s="692"/>
      <c r="S42" s="692"/>
      <c r="T42" s="692"/>
      <c r="U42" s="692"/>
      <c r="V42" s="692"/>
      <c r="W42" s="692"/>
      <c r="X42" s="1"/>
    </row>
    <row r="43" ht="23.25" customHeight="1">
      <c r="A43" s="1"/>
      <c r="B43" s="68"/>
      <c r="C43" s="1"/>
      <c r="D43" s="685"/>
      <c r="E43" s="685"/>
      <c r="F43" s="682"/>
      <c r="G43" s="1"/>
      <c r="H43" s="1"/>
      <c r="I43" s="1"/>
      <c r="J43" s="1"/>
      <c r="K43" s="1"/>
      <c r="L43" s="1"/>
      <c r="M43" s="1"/>
      <c r="N43" s="1"/>
      <c r="O43" s="1"/>
      <c r="P43" s="1"/>
      <c r="Q43" s="1"/>
      <c r="R43" s="1"/>
      <c r="S43" s="1"/>
      <c r="T43" s="1"/>
      <c r="U43" s="1"/>
      <c r="V43" s="1"/>
      <c r="W43" s="1"/>
      <c r="X43" s="1"/>
    </row>
    <row r="44" ht="36.75" customHeight="1">
      <c r="A44" s="1"/>
      <c r="B44" s="68"/>
      <c r="C44" s="1"/>
      <c r="D44" s="685"/>
      <c r="E44" s="685"/>
      <c r="F44" s="682"/>
      <c r="G44" s="1"/>
      <c r="H44" s="1"/>
      <c r="I44" s="1"/>
      <c r="J44" s="1"/>
      <c r="K44" s="1"/>
      <c r="L44" s="1"/>
      <c r="M44" s="1"/>
      <c r="N44" s="1"/>
      <c r="O44" s="1"/>
      <c r="P44" s="1"/>
      <c r="Q44" s="1"/>
      <c r="R44" s="1"/>
      <c r="S44" s="1"/>
      <c r="T44" s="1"/>
      <c r="U44" s="1"/>
      <c r="V44" s="1"/>
      <c r="W44" s="1"/>
      <c r="X44" s="1"/>
    </row>
    <row r="45">
      <c r="A45" s="1"/>
      <c r="B45" s="68"/>
      <c r="C45" s="1"/>
      <c r="D45" s="685"/>
      <c r="E45" s="685"/>
      <c r="F45" s="682"/>
      <c r="G45" s="1"/>
      <c r="H45" s="1"/>
      <c r="I45" s="1"/>
      <c r="J45" s="1"/>
      <c r="K45" s="1"/>
      <c r="L45" s="1"/>
      <c r="M45" s="1"/>
      <c r="N45" s="1"/>
      <c r="O45" s="1"/>
      <c r="P45" s="1"/>
      <c r="Q45" s="1"/>
      <c r="R45" s="1"/>
      <c r="S45" s="1"/>
      <c r="T45" s="1"/>
      <c r="U45" s="1"/>
      <c r="V45" s="1"/>
      <c r="W45" s="1"/>
      <c r="X45" s="1"/>
    </row>
    <row r="46">
      <c r="A46" s="692"/>
      <c r="B46" s="68"/>
      <c r="C46" s="1"/>
      <c r="D46" s="685"/>
      <c r="E46" s="685"/>
      <c r="F46" s="682"/>
      <c r="G46" s="68"/>
      <c r="H46" s="692"/>
      <c r="I46" s="692"/>
      <c r="J46" s="692"/>
      <c r="K46" s="692"/>
      <c r="L46" s="692"/>
      <c r="M46" s="692"/>
      <c r="N46" s="692"/>
      <c r="O46" s="692"/>
      <c r="P46" s="692"/>
      <c r="Q46" s="692"/>
      <c r="R46" s="692"/>
      <c r="S46" s="692"/>
      <c r="T46" s="692"/>
      <c r="U46" s="692"/>
      <c r="V46" s="692"/>
      <c r="W46" s="692"/>
      <c r="X46" s="692"/>
      <c r="Y46" s="731"/>
      <c r="Z46" s="731"/>
    </row>
    <row r="47">
      <c r="A47" s="692"/>
      <c r="B47" s="68"/>
      <c r="C47" s="1"/>
      <c r="D47" s="685"/>
      <c r="E47" s="685"/>
      <c r="F47" s="682"/>
      <c r="G47" s="68"/>
      <c r="H47" s="692"/>
      <c r="I47" s="692"/>
      <c r="J47" s="692"/>
      <c r="K47" s="692"/>
      <c r="L47" s="692"/>
      <c r="M47" s="692"/>
      <c r="N47" s="692"/>
      <c r="O47" s="692"/>
      <c r="P47" s="692"/>
      <c r="Q47" s="692"/>
      <c r="R47" s="692"/>
      <c r="S47" s="692"/>
      <c r="T47" s="692"/>
      <c r="U47" s="692"/>
      <c r="V47" s="692"/>
      <c r="W47" s="692"/>
      <c r="X47" s="692"/>
      <c r="Y47" s="731"/>
      <c r="Z47" s="731"/>
    </row>
    <row r="48">
      <c r="A48" s="692"/>
      <c r="B48" s="68"/>
      <c r="C48" s="1"/>
      <c r="D48" s="685"/>
      <c r="E48" s="685"/>
      <c r="F48" s="682"/>
      <c r="G48" s="68"/>
      <c r="H48" s="692"/>
      <c r="I48" s="692"/>
      <c r="J48" s="692"/>
      <c r="K48" s="692"/>
      <c r="L48" s="692"/>
      <c r="M48" s="692"/>
      <c r="N48" s="692"/>
      <c r="O48" s="692"/>
      <c r="P48" s="692"/>
      <c r="Q48" s="692"/>
      <c r="R48" s="692"/>
      <c r="S48" s="692"/>
      <c r="T48" s="692"/>
      <c r="U48" s="692"/>
      <c r="V48" s="692"/>
      <c r="W48" s="692"/>
      <c r="X48" s="692"/>
      <c r="Y48" s="731"/>
      <c r="Z48" s="731"/>
    </row>
    <row r="49" ht="23.25" customHeight="1">
      <c r="A49" s="1"/>
      <c r="B49" s="68"/>
      <c r="C49" s="1"/>
      <c r="D49" s="685"/>
      <c r="E49" s="685"/>
      <c r="F49" s="682"/>
      <c r="G49" s="68"/>
      <c r="H49" s="692"/>
      <c r="I49" s="692"/>
      <c r="J49" s="692"/>
      <c r="K49" s="692"/>
      <c r="L49" s="692"/>
      <c r="M49" s="1"/>
      <c r="N49" s="1"/>
      <c r="O49" s="1"/>
      <c r="P49" s="1"/>
      <c r="Q49" s="735"/>
      <c r="R49" s="735"/>
      <c r="S49" s="735"/>
      <c r="T49" s="735"/>
      <c r="U49" s="735"/>
      <c r="V49" s="735"/>
      <c r="W49" s="735"/>
      <c r="X49" s="735"/>
    </row>
    <row r="50" ht="18.0" customHeight="1">
      <c r="A50" s="1"/>
      <c r="B50" s="1"/>
      <c r="C50" s="692"/>
      <c r="D50" s="692"/>
      <c r="E50" s="692"/>
      <c r="F50" s="682"/>
      <c r="G50" s="68"/>
      <c r="H50" s="692"/>
      <c r="I50" s="692"/>
      <c r="J50" s="692"/>
      <c r="K50" s="692"/>
      <c r="L50" s="692"/>
      <c r="M50" s="1"/>
      <c r="N50" s="1"/>
      <c r="O50" s="1"/>
      <c r="P50" s="1"/>
      <c r="Q50" s="735"/>
      <c r="R50" s="735"/>
      <c r="S50" s="735"/>
      <c r="T50" s="735"/>
      <c r="U50" s="735"/>
      <c r="V50" s="735"/>
      <c r="W50" s="735"/>
      <c r="X50" s="735"/>
    </row>
    <row r="51" ht="18.0" customHeight="1">
      <c r="A51" s="1"/>
      <c r="B51" s="1"/>
      <c r="C51" s="692"/>
      <c r="D51" s="692"/>
      <c r="E51" s="692"/>
      <c r="F51" s="682"/>
      <c r="G51" s="68"/>
      <c r="H51" s="692"/>
      <c r="I51" s="692"/>
      <c r="J51" s="692"/>
      <c r="K51" s="692"/>
      <c r="L51" s="692"/>
      <c r="M51" s="1"/>
      <c r="N51" s="1"/>
      <c r="O51" s="1"/>
      <c r="P51" s="1"/>
      <c r="Q51" s="1"/>
      <c r="R51" s="1"/>
      <c r="S51" s="1"/>
      <c r="T51" s="1"/>
      <c r="U51" s="1"/>
      <c r="V51" s="1"/>
      <c r="W51" s="1"/>
      <c r="X51" s="1"/>
    </row>
    <row r="52" ht="18.0" hidden="1" customHeight="1">
      <c r="A52" s="1"/>
      <c r="B52" s="1"/>
      <c r="C52" s="692"/>
      <c r="D52" s="692"/>
      <c r="E52" s="692"/>
      <c r="F52" s="736"/>
      <c r="G52" s="68"/>
      <c r="H52" s="692"/>
      <c r="I52" s="692"/>
      <c r="J52" s="692"/>
      <c r="K52" s="692"/>
      <c r="L52" s="692"/>
      <c r="M52" s="1"/>
      <c r="N52" s="1"/>
      <c r="O52" s="1"/>
      <c r="P52" s="1"/>
      <c r="Q52" s="154"/>
      <c r="R52" s="1"/>
      <c r="S52" s="1"/>
      <c r="T52" s="1"/>
      <c r="U52" s="1"/>
      <c r="V52" s="1"/>
      <c r="W52" s="1"/>
      <c r="X52" s="1"/>
    </row>
    <row r="53" ht="18.0" hidden="1" customHeight="1">
      <c r="A53" s="1"/>
      <c r="B53" s="1"/>
      <c r="C53" s="692"/>
      <c r="D53" s="692"/>
      <c r="E53" s="692"/>
      <c r="F53" s="736"/>
      <c r="G53" s="68"/>
      <c r="H53" s="692"/>
      <c r="I53" s="692"/>
      <c r="J53" s="692"/>
      <c r="K53" s="692"/>
      <c r="L53" s="692"/>
      <c r="M53" s="1"/>
      <c r="N53" s="1"/>
      <c r="O53" s="1"/>
      <c r="P53" s="1"/>
      <c r="Q53" s="1"/>
      <c r="R53" s="1"/>
      <c r="S53" s="1"/>
      <c r="T53" s="1"/>
      <c r="U53" s="1"/>
      <c r="V53" s="1"/>
      <c r="W53" s="1"/>
      <c r="X53" s="1"/>
    </row>
    <row r="54" ht="18.0" hidden="1" customHeight="1">
      <c r="A54" s="1"/>
      <c r="B54" s="1"/>
      <c r="C54" s="692"/>
      <c r="D54" s="692"/>
      <c r="E54" s="692"/>
      <c r="F54" s="736"/>
      <c r="G54" s="68"/>
      <c r="H54" s="692"/>
      <c r="I54" s="692"/>
      <c r="J54" s="692"/>
      <c r="K54" s="692"/>
      <c r="L54" s="692"/>
      <c r="M54" s="1"/>
      <c r="N54" s="1"/>
      <c r="O54" s="1"/>
      <c r="P54" s="1"/>
      <c r="Q54" s="1"/>
      <c r="R54" s="1"/>
      <c r="S54" s="1"/>
      <c r="T54" s="1"/>
      <c r="U54" s="1"/>
      <c r="V54" s="1"/>
      <c r="W54" s="1"/>
      <c r="X54" s="1"/>
    </row>
    <row r="55" ht="18.0" hidden="1" customHeight="1">
      <c r="A55" s="1"/>
      <c r="B55" s="1"/>
      <c r="C55" s="692"/>
      <c r="D55" s="692"/>
      <c r="E55" s="692"/>
      <c r="F55" s="736"/>
      <c r="G55" s="68"/>
      <c r="H55" s="692"/>
      <c r="I55" s="692"/>
      <c r="J55" s="692"/>
      <c r="K55" s="692"/>
      <c r="L55" s="692"/>
      <c r="M55" s="1"/>
      <c r="N55" s="1"/>
      <c r="O55" s="1"/>
      <c r="P55" s="1"/>
      <c r="Q55" s="1"/>
      <c r="R55" s="1"/>
      <c r="S55" s="1"/>
      <c r="T55" s="1"/>
      <c r="U55" s="1"/>
      <c r="V55" s="1"/>
      <c r="W55" s="1"/>
      <c r="X55" s="1"/>
    </row>
    <row r="56" ht="18.0" hidden="1" customHeight="1">
      <c r="A56" s="1"/>
      <c r="B56" s="1"/>
      <c r="C56" s="692"/>
      <c r="D56" s="692"/>
      <c r="E56" s="692"/>
      <c r="F56" s="736"/>
      <c r="G56" s="68"/>
      <c r="H56" s="692"/>
      <c r="I56" s="692"/>
      <c r="J56" s="692"/>
      <c r="K56" s="692"/>
      <c r="L56" s="692"/>
      <c r="M56" s="1"/>
      <c r="N56" s="1"/>
      <c r="O56" s="1"/>
      <c r="P56" s="1"/>
      <c r="Q56" s="1"/>
      <c r="R56" s="1"/>
      <c r="S56" s="1"/>
      <c r="T56" s="1"/>
      <c r="U56" s="1"/>
      <c r="V56" s="1"/>
      <c r="W56" s="1"/>
      <c r="X56" s="1"/>
    </row>
    <row r="57" ht="18.0" hidden="1" customHeight="1">
      <c r="A57" s="1"/>
      <c r="B57" s="1"/>
      <c r="C57" s="692"/>
      <c r="D57" s="692"/>
      <c r="E57" s="692"/>
      <c r="F57" s="736"/>
      <c r="G57" s="68"/>
      <c r="H57" s="692"/>
      <c r="I57" s="692"/>
      <c r="J57" s="692"/>
      <c r="K57" s="692"/>
      <c r="L57" s="692"/>
      <c r="M57" s="1"/>
      <c r="N57" s="1"/>
      <c r="O57" s="1"/>
      <c r="P57" s="1"/>
      <c r="Q57" s="1"/>
      <c r="R57" s="1"/>
      <c r="S57" s="1"/>
      <c r="T57" s="1"/>
      <c r="U57" s="1"/>
      <c r="V57" s="1"/>
      <c r="W57" s="1"/>
      <c r="X57" s="1"/>
    </row>
    <row r="58" ht="18.0" hidden="1" customHeight="1">
      <c r="A58" s="1"/>
      <c r="B58" s="1"/>
      <c r="C58" s="692"/>
      <c r="D58" s="692"/>
      <c r="E58" s="692"/>
      <c r="F58" s="736"/>
      <c r="G58" s="68"/>
      <c r="H58" s="692"/>
      <c r="I58" s="692"/>
      <c r="J58" s="692"/>
      <c r="K58" s="692"/>
      <c r="L58" s="692"/>
      <c r="M58" s="1"/>
      <c r="N58" s="1"/>
      <c r="O58" s="1"/>
      <c r="P58" s="1"/>
      <c r="Q58" s="1"/>
      <c r="R58" s="1"/>
      <c r="S58" s="1"/>
      <c r="T58" s="1"/>
      <c r="U58" s="1"/>
      <c r="V58" s="1"/>
      <c r="W58" s="1"/>
      <c r="X58" s="1"/>
    </row>
    <row r="59" ht="18.0" hidden="1" customHeight="1">
      <c r="A59" s="1"/>
      <c r="B59" s="1"/>
      <c r="C59" s="692"/>
      <c r="D59" s="692"/>
      <c r="E59" s="692"/>
      <c r="F59" s="736"/>
      <c r="G59" s="68"/>
      <c r="H59" s="692"/>
      <c r="I59" s="692"/>
      <c r="J59" s="692"/>
      <c r="K59" s="692"/>
      <c r="L59" s="692"/>
      <c r="M59" s="1"/>
      <c r="N59" s="1"/>
      <c r="O59" s="1"/>
      <c r="P59" s="1"/>
      <c r="Q59" s="1"/>
      <c r="R59" s="1"/>
      <c r="S59" s="1"/>
      <c r="T59" s="1"/>
      <c r="U59" s="1"/>
      <c r="V59" s="1"/>
      <c r="W59" s="1"/>
      <c r="X59" s="1"/>
    </row>
    <row r="60" ht="18.0" hidden="1" customHeight="1">
      <c r="A60" s="1"/>
      <c r="B60" s="1"/>
      <c r="C60" s="692"/>
      <c r="D60" s="692"/>
      <c r="E60" s="692"/>
      <c r="F60" s="736"/>
      <c r="G60" s="68"/>
      <c r="H60" s="692"/>
      <c r="I60" s="692"/>
      <c r="J60" s="692"/>
      <c r="K60" s="692"/>
      <c r="L60" s="692"/>
      <c r="M60" s="1"/>
      <c r="N60" s="1"/>
      <c r="O60" s="1"/>
      <c r="P60" s="1"/>
      <c r="Q60" s="1"/>
      <c r="R60" s="1"/>
      <c r="S60" s="1"/>
      <c r="T60" s="1"/>
      <c r="U60" s="1"/>
      <c r="V60" s="1"/>
      <c r="W60" s="1"/>
      <c r="X60" s="1"/>
    </row>
    <row r="61" ht="18.0" hidden="1" customHeight="1">
      <c r="A61" s="1"/>
      <c r="B61" s="1"/>
      <c r="C61" s="692"/>
      <c r="D61" s="692"/>
      <c r="E61" s="692"/>
      <c r="F61" s="736"/>
      <c r="G61" s="68"/>
      <c r="H61" s="692"/>
      <c r="I61" s="692"/>
      <c r="J61" s="692"/>
      <c r="K61" s="692"/>
      <c r="L61" s="692"/>
      <c r="M61" s="1"/>
      <c r="N61" s="1"/>
      <c r="O61" s="1"/>
      <c r="P61" s="1"/>
      <c r="Q61" s="1"/>
      <c r="R61" s="1"/>
      <c r="S61" s="1"/>
      <c r="T61" s="1"/>
      <c r="U61" s="1"/>
      <c r="V61" s="1"/>
      <c r="W61" s="1"/>
      <c r="X61" s="1"/>
    </row>
    <row r="62" ht="15.0" hidden="1" customHeight="1">
      <c r="A62" s="1"/>
      <c r="B62" s="1"/>
      <c r="C62" s="692"/>
      <c r="D62" s="692"/>
      <c r="E62" s="692"/>
      <c r="F62" s="736"/>
      <c r="G62" s="68"/>
      <c r="H62" s="692"/>
      <c r="I62" s="692"/>
      <c r="J62" s="692"/>
      <c r="K62" s="692"/>
      <c r="L62" s="692"/>
      <c r="M62" s="1"/>
      <c r="N62" s="1"/>
      <c r="O62" s="1"/>
      <c r="P62" s="1"/>
      <c r="Q62" s="1"/>
      <c r="R62" s="1"/>
      <c r="S62" s="1"/>
      <c r="T62" s="1"/>
      <c r="U62" s="1"/>
      <c r="V62" s="1"/>
      <c r="W62" s="1"/>
      <c r="X62" s="1"/>
    </row>
    <row r="63" ht="18.0" hidden="1" customHeight="1">
      <c r="A63" s="1"/>
      <c r="B63" s="1"/>
      <c r="C63" s="692"/>
      <c r="D63" s="692"/>
      <c r="E63" s="692"/>
      <c r="F63" s="736"/>
      <c r="G63" s="68"/>
      <c r="H63" s="692"/>
      <c r="I63" s="692"/>
      <c r="J63" s="692"/>
      <c r="K63" s="692"/>
      <c r="L63" s="692"/>
      <c r="M63" s="1"/>
      <c r="N63" s="1"/>
      <c r="O63" s="1"/>
      <c r="P63" s="1"/>
      <c r="Q63" s="1"/>
      <c r="R63" s="1"/>
      <c r="S63" s="1"/>
      <c r="T63" s="1"/>
      <c r="U63" s="1"/>
      <c r="V63" s="1"/>
      <c r="W63" s="1"/>
      <c r="X63" s="1"/>
    </row>
    <row r="64" ht="14.25" hidden="1" customHeight="1">
      <c r="A64" s="1"/>
      <c r="B64" s="1"/>
      <c r="C64" s="692"/>
      <c r="D64" s="692"/>
      <c r="E64" s="692"/>
      <c r="F64" s="680"/>
      <c r="G64" s="737"/>
      <c r="H64" s="737"/>
      <c r="I64" s="737"/>
      <c r="J64" s="737"/>
      <c r="K64" s="1"/>
      <c r="L64" s="1"/>
      <c r="M64" s="1"/>
      <c r="N64" s="1"/>
      <c r="O64" s="1"/>
      <c r="P64" s="1"/>
      <c r="Q64" s="1"/>
      <c r="R64" s="1"/>
      <c r="S64" s="1"/>
      <c r="T64" s="1"/>
      <c r="U64" s="1"/>
      <c r="V64" s="1"/>
      <c r="W64" s="1"/>
      <c r="X64" s="1"/>
    </row>
    <row r="65" ht="14.25" hidden="1" customHeight="1">
      <c r="A65" s="1"/>
      <c r="B65" s="738" t="s">
        <v>313</v>
      </c>
      <c r="C65" s="739">
        <v>26000.0</v>
      </c>
      <c r="D65" s="692"/>
      <c r="E65" s="692"/>
      <c r="F65" s="680"/>
      <c r="G65" s="737"/>
      <c r="H65" s="737"/>
      <c r="I65" s="737"/>
      <c r="J65" s="737"/>
      <c r="K65" s="1"/>
      <c r="L65" s="1"/>
      <c r="M65" s="1"/>
      <c r="N65" s="1"/>
      <c r="O65" s="1"/>
      <c r="P65" s="1"/>
      <c r="Q65" s="1"/>
      <c r="R65" s="1"/>
      <c r="S65" s="1"/>
      <c r="T65" s="1"/>
      <c r="U65" s="1"/>
      <c r="V65" s="1"/>
      <c r="W65" s="1"/>
      <c r="X65" s="1"/>
    </row>
    <row r="66" ht="14.25" hidden="1" customHeight="1">
      <c r="A66" s="1"/>
      <c r="B66" s="20"/>
      <c r="C66" s="10"/>
      <c r="D66" s="1"/>
      <c r="E66" s="1"/>
      <c r="F66" s="680"/>
      <c r="G66" s="737"/>
      <c r="H66" s="737"/>
      <c r="I66" s="737"/>
      <c r="J66" s="737"/>
      <c r="K66" s="1"/>
      <c r="L66" s="1"/>
      <c r="M66" s="1"/>
      <c r="N66" s="1"/>
      <c r="O66" s="1"/>
      <c r="P66" s="1"/>
      <c r="Q66" s="1"/>
      <c r="R66" s="1"/>
      <c r="S66" s="1"/>
      <c r="T66" s="1"/>
      <c r="U66" s="1"/>
      <c r="V66" s="1"/>
      <c r="W66" s="1"/>
      <c r="X66" s="1"/>
    </row>
    <row r="67" ht="14.25" hidden="1" customHeight="1">
      <c r="A67" s="1"/>
      <c r="B67" s="740"/>
      <c r="C67" s="1"/>
      <c r="D67" s="1"/>
      <c r="E67" s="1"/>
      <c r="F67" s="680"/>
      <c r="G67" s="737"/>
      <c r="H67" s="737"/>
      <c r="I67" s="737"/>
      <c r="J67" s="737"/>
      <c r="K67" s="1"/>
      <c r="L67" s="1"/>
      <c r="M67" s="1"/>
      <c r="N67" s="1"/>
      <c r="O67" s="1"/>
      <c r="P67" s="1"/>
      <c r="Q67" s="1"/>
      <c r="R67" s="1"/>
      <c r="S67" s="1"/>
      <c r="T67" s="1"/>
      <c r="U67" s="1"/>
      <c r="V67" s="1"/>
      <c r="W67" s="1"/>
      <c r="X67" s="1"/>
    </row>
    <row r="68" ht="14.25" hidden="1" customHeight="1">
      <c r="A68" s="1"/>
      <c r="B68" s="20"/>
      <c r="C68" s="1"/>
      <c r="D68" s="1"/>
      <c r="E68" s="1"/>
      <c r="F68" s="680"/>
      <c r="G68" s="737"/>
      <c r="H68" s="737"/>
      <c r="I68" s="737"/>
      <c r="J68" s="737"/>
      <c r="K68" s="1"/>
      <c r="L68" s="1"/>
      <c r="M68" s="1"/>
      <c r="N68" s="1"/>
      <c r="O68" s="1"/>
      <c r="P68" s="1"/>
      <c r="Q68" s="1"/>
      <c r="R68" s="1"/>
      <c r="S68" s="1"/>
      <c r="T68" s="1"/>
      <c r="U68" s="1"/>
      <c r="V68" s="1"/>
      <c r="W68" s="1"/>
      <c r="X68" s="1"/>
    </row>
    <row r="69" ht="14.25" hidden="1" customHeight="1">
      <c r="A69" s="1"/>
      <c r="B69" s="1"/>
      <c r="C69" s="1"/>
      <c r="D69" s="1"/>
      <c r="E69" s="1"/>
      <c r="F69" s="680"/>
      <c r="G69" s="737"/>
      <c r="H69" s="737"/>
      <c r="I69" s="737"/>
      <c r="J69" s="737"/>
      <c r="K69" s="1"/>
      <c r="L69" s="1"/>
      <c r="M69" s="1"/>
      <c r="N69" s="1"/>
      <c r="O69" s="1"/>
      <c r="P69" s="1"/>
      <c r="Q69" s="1"/>
      <c r="R69" s="1"/>
      <c r="S69" s="1"/>
      <c r="T69" s="1"/>
      <c r="U69" s="1"/>
      <c r="V69" s="1"/>
      <c r="W69" s="1"/>
      <c r="X69" s="1"/>
    </row>
    <row r="70" ht="14.25" hidden="1" customHeight="1">
      <c r="A70" s="1"/>
      <c r="B70" s="1"/>
      <c r="C70" s="1"/>
      <c r="D70" s="1"/>
      <c r="E70" s="1"/>
      <c r="F70" s="680"/>
      <c r="G70" s="737"/>
      <c r="H70" s="737"/>
      <c r="I70" s="737"/>
      <c r="J70" s="737"/>
      <c r="K70" s="1"/>
      <c r="L70" s="1"/>
      <c r="M70" s="1"/>
      <c r="N70" s="1"/>
      <c r="O70" s="1"/>
      <c r="P70" s="1"/>
      <c r="Q70" s="1"/>
      <c r="R70" s="1"/>
      <c r="S70" s="1"/>
      <c r="T70" s="1"/>
      <c r="U70" s="1"/>
      <c r="V70" s="1"/>
      <c r="W70" s="1"/>
      <c r="X70" s="1"/>
    </row>
    <row r="71" ht="14.25" hidden="1" customHeight="1">
      <c r="F71" s="741"/>
    </row>
    <row r="72" ht="14.25" hidden="1" customHeight="1">
      <c r="F72" s="741"/>
    </row>
    <row r="73" ht="14.25" hidden="1" customHeight="1">
      <c r="F73" s="741"/>
    </row>
    <row r="74" ht="14.25" hidden="1" customHeight="1">
      <c r="F74" s="741"/>
    </row>
    <row r="75">
      <c r="F75" s="741"/>
    </row>
    <row r="76">
      <c r="F76" s="741"/>
    </row>
    <row r="77">
      <c r="F77" s="741"/>
    </row>
    <row r="78">
      <c r="F78" s="741"/>
    </row>
    <row r="79">
      <c r="F79" s="741"/>
    </row>
    <row r="80">
      <c r="F80" s="741"/>
    </row>
    <row r="81">
      <c r="F81" s="741"/>
    </row>
    <row r="82">
      <c r="F82" s="741"/>
    </row>
    <row r="83">
      <c r="F83" s="741"/>
    </row>
    <row r="84">
      <c r="F84" s="741"/>
    </row>
    <row r="85">
      <c r="F85" s="741"/>
    </row>
    <row r="86">
      <c r="F86" s="741"/>
    </row>
    <row r="87">
      <c r="F87" s="741"/>
    </row>
    <row r="88">
      <c r="F88" s="741"/>
    </row>
    <row r="89">
      <c r="F89" s="741"/>
    </row>
    <row r="90">
      <c r="F90" s="741"/>
    </row>
    <row r="91">
      <c r="F91" s="741"/>
    </row>
    <row r="92">
      <c r="F92" s="741"/>
    </row>
    <row r="93">
      <c r="F93" s="741"/>
    </row>
    <row r="94">
      <c r="F94" s="741"/>
    </row>
    <row r="95">
      <c r="F95" s="741"/>
    </row>
    <row r="96">
      <c r="F96" s="741"/>
    </row>
    <row r="97">
      <c r="F97" s="741"/>
    </row>
    <row r="98">
      <c r="F98" s="741"/>
    </row>
    <row r="99">
      <c r="F99" s="741"/>
    </row>
    <row r="100">
      <c r="F100" s="741"/>
    </row>
    <row r="101">
      <c r="F101" s="741"/>
    </row>
    <row r="102">
      <c r="F102" s="741"/>
    </row>
    <row r="103">
      <c r="F103" s="741"/>
    </row>
    <row r="104">
      <c r="F104" s="741"/>
    </row>
    <row r="105">
      <c r="F105" s="741"/>
    </row>
    <row r="106">
      <c r="F106" s="741"/>
    </row>
    <row r="107">
      <c r="F107" s="741"/>
    </row>
    <row r="108">
      <c r="F108" s="741"/>
    </row>
    <row r="109">
      <c r="F109" s="741"/>
    </row>
    <row r="110">
      <c r="F110" s="741"/>
    </row>
    <row r="111">
      <c r="F111" s="741"/>
    </row>
    <row r="112">
      <c r="F112" s="741"/>
    </row>
    <row r="113">
      <c r="F113" s="741"/>
    </row>
    <row r="114">
      <c r="F114" s="741"/>
    </row>
    <row r="115">
      <c r="F115" s="741"/>
    </row>
    <row r="116">
      <c r="F116" s="741"/>
    </row>
    <row r="117">
      <c r="F117" s="741"/>
    </row>
    <row r="118">
      <c r="F118" s="741"/>
    </row>
    <row r="119">
      <c r="F119" s="741"/>
    </row>
    <row r="120">
      <c r="F120" s="741"/>
    </row>
    <row r="121">
      <c r="F121" s="741"/>
    </row>
    <row r="122">
      <c r="F122" s="741"/>
    </row>
    <row r="123">
      <c r="F123" s="741"/>
    </row>
    <row r="124">
      <c r="F124" s="741"/>
    </row>
    <row r="125">
      <c r="F125" s="741"/>
    </row>
    <row r="126">
      <c r="F126" s="741"/>
    </row>
    <row r="127">
      <c r="F127" s="741"/>
    </row>
    <row r="128">
      <c r="F128" s="741"/>
    </row>
    <row r="129">
      <c r="F129" s="741"/>
    </row>
    <row r="130">
      <c r="F130" s="741"/>
    </row>
    <row r="131">
      <c r="F131" s="741"/>
    </row>
    <row r="132">
      <c r="F132" s="741"/>
    </row>
    <row r="133">
      <c r="F133" s="741"/>
    </row>
    <row r="134">
      <c r="F134" s="741"/>
    </row>
    <row r="135">
      <c r="F135" s="741"/>
    </row>
    <row r="136">
      <c r="F136" s="741"/>
    </row>
    <row r="137">
      <c r="F137" s="741"/>
    </row>
    <row r="138">
      <c r="F138" s="741"/>
    </row>
    <row r="139">
      <c r="F139" s="741"/>
    </row>
    <row r="140">
      <c r="F140" s="741"/>
    </row>
    <row r="141">
      <c r="F141" s="741"/>
    </row>
    <row r="142">
      <c r="F142" s="741"/>
    </row>
    <row r="143">
      <c r="F143" s="741"/>
    </row>
    <row r="144">
      <c r="F144" s="741"/>
    </row>
    <row r="145">
      <c r="F145" s="741"/>
    </row>
    <row r="146">
      <c r="F146" s="741"/>
    </row>
    <row r="147">
      <c r="F147" s="741"/>
    </row>
    <row r="148">
      <c r="F148" s="741"/>
    </row>
    <row r="149">
      <c r="F149" s="741"/>
    </row>
    <row r="150">
      <c r="F150" s="741"/>
    </row>
    <row r="151">
      <c r="F151" s="741"/>
    </row>
    <row r="152">
      <c r="F152" s="741"/>
    </row>
    <row r="153">
      <c r="F153" s="741"/>
    </row>
    <row r="154">
      <c r="F154" s="741"/>
    </row>
    <row r="155">
      <c r="F155" s="741"/>
    </row>
    <row r="156">
      <c r="F156" s="741"/>
    </row>
    <row r="157">
      <c r="F157" s="741"/>
    </row>
    <row r="158">
      <c r="F158" s="741"/>
    </row>
    <row r="159">
      <c r="F159" s="741"/>
    </row>
    <row r="160">
      <c r="F160" s="741"/>
    </row>
    <row r="161">
      <c r="F161" s="741"/>
    </row>
    <row r="162">
      <c r="F162" s="741"/>
    </row>
    <row r="163">
      <c r="F163" s="741"/>
    </row>
    <row r="164">
      <c r="F164" s="741"/>
    </row>
    <row r="165">
      <c r="F165" s="741"/>
    </row>
    <row r="166">
      <c r="F166" s="741"/>
    </row>
    <row r="167">
      <c r="F167" s="741"/>
    </row>
    <row r="168">
      <c r="F168" s="741"/>
    </row>
    <row r="169">
      <c r="F169" s="741"/>
    </row>
    <row r="170">
      <c r="F170" s="741"/>
    </row>
    <row r="171">
      <c r="F171" s="741"/>
    </row>
    <row r="172">
      <c r="F172" s="741"/>
    </row>
    <row r="173">
      <c r="F173" s="741"/>
    </row>
    <row r="174">
      <c r="F174" s="741"/>
    </row>
    <row r="175">
      <c r="F175" s="741"/>
    </row>
    <row r="176">
      <c r="F176" s="741"/>
    </row>
    <row r="177">
      <c r="F177" s="741"/>
    </row>
    <row r="178">
      <c r="F178" s="741"/>
    </row>
    <row r="179">
      <c r="F179" s="741"/>
    </row>
    <row r="180">
      <c r="F180" s="741"/>
    </row>
    <row r="181">
      <c r="F181" s="741"/>
    </row>
    <row r="182">
      <c r="F182" s="741"/>
    </row>
    <row r="183">
      <c r="F183" s="741"/>
    </row>
    <row r="184">
      <c r="F184" s="741"/>
    </row>
    <row r="185">
      <c r="F185" s="741"/>
    </row>
    <row r="186">
      <c r="F186" s="741"/>
    </row>
    <row r="187">
      <c r="F187" s="741"/>
    </row>
    <row r="188">
      <c r="F188" s="741"/>
    </row>
    <row r="189">
      <c r="F189" s="741"/>
    </row>
    <row r="190">
      <c r="F190" s="741"/>
    </row>
    <row r="191">
      <c r="F191" s="741"/>
    </row>
    <row r="192">
      <c r="F192" s="741"/>
    </row>
    <row r="193">
      <c r="F193" s="741"/>
    </row>
    <row r="194">
      <c r="F194" s="741"/>
    </row>
    <row r="195">
      <c r="F195" s="741"/>
    </row>
    <row r="196">
      <c r="F196" s="741"/>
    </row>
    <row r="197">
      <c r="F197" s="741"/>
    </row>
    <row r="198">
      <c r="F198" s="741"/>
    </row>
    <row r="199">
      <c r="F199" s="741"/>
    </row>
    <row r="200">
      <c r="F200" s="741"/>
    </row>
    <row r="201">
      <c r="F201" s="741"/>
    </row>
    <row r="202">
      <c r="F202" s="741"/>
    </row>
    <row r="203">
      <c r="F203" s="741"/>
    </row>
    <row r="204">
      <c r="F204" s="741"/>
    </row>
    <row r="205">
      <c r="F205" s="741"/>
    </row>
    <row r="206">
      <c r="F206" s="741"/>
    </row>
    <row r="207">
      <c r="F207" s="741"/>
    </row>
    <row r="208">
      <c r="F208" s="741"/>
    </row>
    <row r="209">
      <c r="F209" s="741"/>
    </row>
    <row r="210">
      <c r="F210" s="741"/>
    </row>
    <row r="211">
      <c r="F211" s="741"/>
    </row>
    <row r="212">
      <c r="F212" s="741"/>
    </row>
    <row r="213">
      <c r="F213" s="741"/>
    </row>
    <row r="214">
      <c r="F214" s="741"/>
    </row>
    <row r="215">
      <c r="F215" s="741"/>
    </row>
    <row r="216">
      <c r="F216" s="741"/>
    </row>
    <row r="217">
      <c r="F217" s="741"/>
    </row>
    <row r="218">
      <c r="F218" s="741"/>
    </row>
    <row r="219">
      <c r="F219" s="741"/>
    </row>
    <row r="220">
      <c r="F220" s="741"/>
    </row>
    <row r="221">
      <c r="F221" s="741"/>
    </row>
    <row r="222">
      <c r="F222" s="741"/>
    </row>
    <row r="223">
      <c r="F223" s="741"/>
    </row>
    <row r="224">
      <c r="F224" s="741"/>
    </row>
    <row r="225">
      <c r="F225" s="741"/>
    </row>
    <row r="226">
      <c r="F226" s="741"/>
    </row>
    <row r="227">
      <c r="F227" s="741"/>
    </row>
    <row r="228">
      <c r="F228" s="741"/>
    </row>
    <row r="229">
      <c r="F229" s="741"/>
    </row>
    <row r="230">
      <c r="F230" s="741"/>
    </row>
    <row r="231">
      <c r="F231" s="741"/>
    </row>
    <row r="232">
      <c r="F232" s="741"/>
    </row>
    <row r="233">
      <c r="F233" s="741"/>
    </row>
    <row r="234">
      <c r="F234" s="741"/>
    </row>
    <row r="235">
      <c r="F235" s="741"/>
    </row>
    <row r="236">
      <c r="F236" s="741"/>
    </row>
    <row r="237">
      <c r="F237" s="741"/>
    </row>
    <row r="238">
      <c r="F238" s="741"/>
    </row>
    <row r="239">
      <c r="F239" s="741"/>
    </row>
    <row r="240">
      <c r="F240" s="741"/>
    </row>
    <row r="241">
      <c r="F241" s="741"/>
    </row>
    <row r="242">
      <c r="F242" s="741"/>
    </row>
    <row r="243">
      <c r="F243" s="741"/>
    </row>
    <row r="244">
      <c r="F244" s="741"/>
    </row>
    <row r="245">
      <c r="F245" s="741"/>
    </row>
    <row r="246">
      <c r="F246" s="741"/>
    </row>
    <row r="247">
      <c r="F247" s="741"/>
    </row>
    <row r="248">
      <c r="F248" s="741"/>
    </row>
    <row r="249">
      <c r="F249" s="741"/>
    </row>
    <row r="250">
      <c r="F250" s="741"/>
    </row>
    <row r="251">
      <c r="F251" s="741"/>
    </row>
    <row r="252">
      <c r="F252" s="741"/>
    </row>
    <row r="253">
      <c r="F253" s="741"/>
    </row>
    <row r="254">
      <c r="F254" s="741"/>
    </row>
    <row r="255">
      <c r="F255" s="741"/>
    </row>
    <row r="256">
      <c r="F256" s="741"/>
    </row>
    <row r="257">
      <c r="F257" s="741"/>
    </row>
    <row r="258">
      <c r="F258" s="741"/>
    </row>
    <row r="259">
      <c r="F259" s="741"/>
    </row>
    <row r="260">
      <c r="F260" s="741"/>
    </row>
    <row r="261">
      <c r="F261" s="741"/>
    </row>
    <row r="262">
      <c r="F262" s="741"/>
    </row>
    <row r="263">
      <c r="F263" s="741"/>
    </row>
    <row r="264">
      <c r="F264" s="741"/>
    </row>
    <row r="265">
      <c r="F265" s="741"/>
    </row>
    <row r="266">
      <c r="F266" s="741"/>
    </row>
    <row r="267">
      <c r="F267" s="741"/>
    </row>
    <row r="268">
      <c r="F268" s="741"/>
    </row>
    <row r="269">
      <c r="F269" s="741"/>
    </row>
    <row r="270">
      <c r="F270" s="741"/>
    </row>
    <row r="271">
      <c r="F271" s="741"/>
    </row>
    <row r="272">
      <c r="F272" s="741"/>
    </row>
    <row r="273">
      <c r="F273" s="741"/>
    </row>
    <row r="274">
      <c r="F274" s="741"/>
    </row>
    <row r="275">
      <c r="F275" s="741"/>
    </row>
    <row r="276">
      <c r="F276" s="741"/>
    </row>
    <row r="277">
      <c r="F277" s="741"/>
    </row>
    <row r="278">
      <c r="F278" s="741"/>
    </row>
    <row r="279">
      <c r="F279" s="741"/>
    </row>
    <row r="280">
      <c r="F280" s="741"/>
    </row>
    <row r="281">
      <c r="F281" s="741"/>
    </row>
    <row r="282">
      <c r="F282" s="741"/>
    </row>
    <row r="283">
      <c r="F283" s="741"/>
    </row>
    <row r="284">
      <c r="F284" s="741"/>
    </row>
    <row r="285">
      <c r="F285" s="741"/>
    </row>
    <row r="286">
      <c r="F286" s="741"/>
    </row>
    <row r="287">
      <c r="F287" s="741"/>
    </row>
    <row r="288">
      <c r="F288" s="741"/>
    </row>
    <row r="289">
      <c r="F289" s="741"/>
    </row>
    <row r="290">
      <c r="F290" s="741"/>
    </row>
    <row r="291">
      <c r="F291" s="741"/>
    </row>
    <row r="292">
      <c r="F292" s="741"/>
    </row>
    <row r="293">
      <c r="F293" s="741"/>
    </row>
    <row r="294">
      <c r="F294" s="741"/>
    </row>
    <row r="295">
      <c r="F295" s="741"/>
    </row>
    <row r="296">
      <c r="F296" s="741"/>
    </row>
    <row r="297">
      <c r="F297" s="741"/>
    </row>
    <row r="298">
      <c r="F298" s="741"/>
    </row>
    <row r="299">
      <c r="F299" s="741"/>
    </row>
    <row r="300">
      <c r="F300" s="741"/>
    </row>
    <row r="301">
      <c r="F301" s="741"/>
    </row>
    <row r="302">
      <c r="F302" s="741"/>
    </row>
    <row r="303">
      <c r="F303" s="741"/>
    </row>
    <row r="304">
      <c r="F304" s="741"/>
    </row>
    <row r="305">
      <c r="F305" s="741"/>
    </row>
    <row r="306">
      <c r="F306" s="741"/>
    </row>
    <row r="307">
      <c r="F307" s="741"/>
    </row>
    <row r="308">
      <c r="F308" s="741"/>
    </row>
    <row r="309">
      <c r="F309" s="741"/>
    </row>
    <row r="310">
      <c r="F310" s="741"/>
    </row>
    <row r="311">
      <c r="F311" s="741"/>
    </row>
    <row r="312">
      <c r="F312" s="741"/>
    </row>
    <row r="313">
      <c r="F313" s="741"/>
    </row>
    <row r="314">
      <c r="F314" s="741"/>
    </row>
    <row r="315">
      <c r="F315" s="741"/>
    </row>
    <row r="316">
      <c r="F316" s="741"/>
    </row>
    <row r="317">
      <c r="F317" s="741"/>
    </row>
    <row r="318">
      <c r="F318" s="741"/>
    </row>
    <row r="319">
      <c r="F319" s="741"/>
    </row>
    <row r="320">
      <c r="F320" s="741"/>
    </row>
    <row r="321">
      <c r="F321" s="741"/>
    </row>
    <row r="322">
      <c r="F322" s="741"/>
    </row>
    <row r="323">
      <c r="F323" s="741"/>
    </row>
    <row r="324">
      <c r="F324" s="741"/>
    </row>
    <row r="325">
      <c r="F325" s="741"/>
    </row>
    <row r="326">
      <c r="F326" s="741"/>
    </row>
    <row r="327">
      <c r="F327" s="741"/>
    </row>
    <row r="328">
      <c r="F328" s="741"/>
    </row>
    <row r="329">
      <c r="F329" s="741"/>
    </row>
    <row r="330">
      <c r="F330" s="741"/>
    </row>
    <row r="331">
      <c r="F331" s="741"/>
    </row>
    <row r="332">
      <c r="F332" s="741"/>
    </row>
    <row r="333">
      <c r="F333" s="741"/>
    </row>
    <row r="334">
      <c r="F334" s="741"/>
    </row>
    <row r="335">
      <c r="F335" s="741"/>
    </row>
    <row r="336">
      <c r="F336" s="741"/>
    </row>
    <row r="337">
      <c r="F337" s="741"/>
    </row>
    <row r="338">
      <c r="F338" s="741"/>
    </row>
    <row r="339">
      <c r="F339" s="741"/>
    </row>
    <row r="340">
      <c r="F340" s="741"/>
    </row>
    <row r="341">
      <c r="F341" s="741"/>
    </row>
    <row r="342">
      <c r="F342" s="741"/>
    </row>
    <row r="343">
      <c r="F343" s="741"/>
    </row>
    <row r="344">
      <c r="F344" s="741"/>
    </row>
    <row r="345">
      <c r="F345" s="741"/>
    </row>
    <row r="346">
      <c r="F346" s="741"/>
    </row>
    <row r="347">
      <c r="F347" s="741"/>
    </row>
    <row r="348">
      <c r="F348" s="741"/>
    </row>
    <row r="349">
      <c r="F349" s="741"/>
    </row>
    <row r="350">
      <c r="F350" s="741"/>
    </row>
    <row r="351">
      <c r="F351" s="741"/>
    </row>
    <row r="352">
      <c r="F352" s="741"/>
    </row>
    <row r="353">
      <c r="F353" s="741"/>
    </row>
    <row r="354">
      <c r="F354" s="741"/>
    </row>
    <row r="355">
      <c r="F355" s="741"/>
    </row>
    <row r="356">
      <c r="F356" s="741"/>
    </row>
    <row r="357">
      <c r="F357" s="741"/>
    </row>
    <row r="358">
      <c r="F358" s="741"/>
    </row>
    <row r="359">
      <c r="F359" s="741"/>
    </row>
    <row r="360">
      <c r="F360" s="741"/>
    </row>
    <row r="361">
      <c r="F361" s="741"/>
    </row>
    <row r="362">
      <c r="F362" s="741"/>
    </row>
    <row r="363">
      <c r="F363" s="741"/>
    </row>
    <row r="364">
      <c r="F364" s="741"/>
    </row>
    <row r="365">
      <c r="F365" s="741"/>
    </row>
    <row r="366">
      <c r="F366" s="741"/>
    </row>
    <row r="367">
      <c r="F367" s="741"/>
    </row>
    <row r="368">
      <c r="F368" s="741"/>
    </row>
    <row r="369">
      <c r="F369" s="741"/>
    </row>
    <row r="370">
      <c r="F370" s="741"/>
    </row>
    <row r="371">
      <c r="F371" s="741"/>
    </row>
    <row r="372">
      <c r="F372" s="741"/>
    </row>
    <row r="373">
      <c r="F373" s="741"/>
    </row>
    <row r="374">
      <c r="F374" s="741"/>
    </row>
    <row r="375">
      <c r="F375" s="741"/>
    </row>
    <row r="376">
      <c r="F376" s="741"/>
    </row>
    <row r="377">
      <c r="F377" s="741"/>
    </row>
    <row r="378">
      <c r="F378" s="741"/>
    </row>
    <row r="379">
      <c r="F379" s="741"/>
    </row>
    <row r="380">
      <c r="F380" s="741"/>
    </row>
    <row r="381">
      <c r="F381" s="741"/>
    </row>
    <row r="382">
      <c r="F382" s="741"/>
    </row>
    <row r="383">
      <c r="F383" s="741"/>
    </row>
    <row r="384">
      <c r="F384" s="741"/>
    </row>
    <row r="385">
      <c r="F385" s="741"/>
    </row>
    <row r="386">
      <c r="F386" s="741"/>
    </row>
    <row r="387">
      <c r="F387" s="741"/>
    </row>
    <row r="388">
      <c r="F388" s="741"/>
    </row>
    <row r="389">
      <c r="F389" s="741"/>
    </row>
    <row r="390">
      <c r="F390" s="741"/>
    </row>
    <row r="391">
      <c r="F391" s="741"/>
    </row>
    <row r="392">
      <c r="F392" s="741"/>
    </row>
    <row r="393">
      <c r="F393" s="741"/>
    </row>
    <row r="394">
      <c r="F394" s="741"/>
    </row>
    <row r="395">
      <c r="F395" s="741"/>
    </row>
    <row r="396">
      <c r="F396" s="741"/>
    </row>
    <row r="397">
      <c r="F397" s="741"/>
    </row>
    <row r="398">
      <c r="F398" s="741"/>
    </row>
    <row r="399">
      <c r="F399" s="741"/>
    </row>
    <row r="400">
      <c r="F400" s="741"/>
    </row>
    <row r="401">
      <c r="F401" s="741"/>
    </row>
    <row r="402">
      <c r="F402" s="741"/>
    </row>
    <row r="403">
      <c r="F403" s="741"/>
    </row>
    <row r="404">
      <c r="F404" s="741"/>
    </row>
    <row r="405">
      <c r="F405" s="741"/>
    </row>
    <row r="406">
      <c r="F406" s="741"/>
    </row>
    <row r="407">
      <c r="F407" s="741"/>
    </row>
    <row r="408">
      <c r="F408" s="741"/>
    </row>
    <row r="409">
      <c r="F409" s="741"/>
    </row>
    <row r="410">
      <c r="F410" s="741"/>
    </row>
    <row r="411">
      <c r="F411" s="741"/>
    </row>
    <row r="412">
      <c r="F412" s="741"/>
    </row>
    <row r="413">
      <c r="F413" s="741"/>
    </row>
    <row r="414">
      <c r="F414" s="741"/>
    </row>
    <row r="415">
      <c r="F415" s="741"/>
    </row>
    <row r="416">
      <c r="F416" s="741"/>
    </row>
    <row r="417">
      <c r="F417" s="741"/>
    </row>
    <row r="418">
      <c r="F418" s="741"/>
    </row>
    <row r="419">
      <c r="F419" s="741"/>
    </row>
    <row r="420">
      <c r="F420" s="741"/>
    </row>
    <row r="421">
      <c r="F421" s="741"/>
    </row>
    <row r="422">
      <c r="F422" s="741"/>
    </row>
    <row r="423">
      <c r="F423" s="741"/>
    </row>
    <row r="424">
      <c r="F424" s="741"/>
    </row>
    <row r="425">
      <c r="F425" s="741"/>
    </row>
    <row r="426">
      <c r="F426" s="741"/>
    </row>
    <row r="427">
      <c r="F427" s="741"/>
    </row>
    <row r="428">
      <c r="F428" s="741"/>
    </row>
    <row r="429">
      <c r="F429" s="741"/>
    </row>
    <row r="430">
      <c r="F430" s="741"/>
    </row>
    <row r="431">
      <c r="F431" s="741"/>
    </row>
    <row r="432">
      <c r="F432" s="741"/>
    </row>
    <row r="433">
      <c r="F433" s="741"/>
    </row>
    <row r="434">
      <c r="F434" s="741"/>
    </row>
    <row r="435">
      <c r="F435" s="741"/>
    </row>
    <row r="436">
      <c r="F436" s="741"/>
    </row>
    <row r="437">
      <c r="F437" s="741"/>
    </row>
    <row r="438">
      <c r="F438" s="741"/>
    </row>
    <row r="439">
      <c r="F439" s="741"/>
    </row>
    <row r="440">
      <c r="F440" s="741"/>
    </row>
    <row r="441">
      <c r="F441" s="741"/>
    </row>
    <row r="442">
      <c r="F442" s="741"/>
    </row>
    <row r="443">
      <c r="F443" s="741"/>
    </row>
    <row r="444">
      <c r="F444" s="741"/>
    </row>
    <row r="445">
      <c r="F445" s="741"/>
    </row>
    <row r="446">
      <c r="F446" s="741"/>
    </row>
    <row r="447">
      <c r="F447" s="741"/>
    </row>
    <row r="448">
      <c r="F448" s="741"/>
    </row>
    <row r="449">
      <c r="F449" s="741"/>
    </row>
    <row r="450">
      <c r="F450" s="741"/>
    </row>
    <row r="451">
      <c r="F451" s="741"/>
    </row>
    <row r="452">
      <c r="F452" s="741"/>
    </row>
    <row r="453">
      <c r="F453" s="741"/>
    </row>
    <row r="454">
      <c r="F454" s="741"/>
    </row>
    <row r="455">
      <c r="F455" s="741"/>
    </row>
    <row r="456">
      <c r="F456" s="741"/>
    </row>
    <row r="457">
      <c r="F457" s="741"/>
    </row>
    <row r="458">
      <c r="F458" s="741"/>
    </row>
    <row r="459">
      <c r="F459" s="741"/>
    </row>
    <row r="460">
      <c r="F460" s="741"/>
    </row>
    <row r="461">
      <c r="F461" s="741"/>
    </row>
    <row r="462">
      <c r="F462" s="741"/>
    </row>
    <row r="463">
      <c r="F463" s="741"/>
    </row>
    <row r="464">
      <c r="F464" s="741"/>
    </row>
    <row r="465">
      <c r="F465" s="741"/>
    </row>
    <row r="466">
      <c r="F466" s="741"/>
    </row>
    <row r="467">
      <c r="F467" s="741"/>
    </row>
    <row r="468">
      <c r="F468" s="741"/>
    </row>
    <row r="469">
      <c r="F469" s="741"/>
    </row>
    <row r="470">
      <c r="F470" s="741"/>
    </row>
    <row r="471">
      <c r="F471" s="741"/>
    </row>
    <row r="472">
      <c r="F472" s="741"/>
    </row>
    <row r="473">
      <c r="F473" s="741"/>
    </row>
    <row r="474">
      <c r="F474" s="741"/>
    </row>
    <row r="475">
      <c r="F475" s="741"/>
    </row>
    <row r="476">
      <c r="F476" s="741"/>
    </row>
    <row r="477">
      <c r="F477" s="741"/>
    </row>
    <row r="478">
      <c r="F478" s="741"/>
    </row>
    <row r="479">
      <c r="F479" s="741"/>
    </row>
    <row r="480">
      <c r="F480" s="741"/>
    </row>
    <row r="481">
      <c r="F481" s="741"/>
    </row>
    <row r="482">
      <c r="F482" s="741"/>
    </row>
    <row r="483">
      <c r="F483" s="741"/>
    </row>
    <row r="484">
      <c r="F484" s="741"/>
    </row>
    <row r="485">
      <c r="F485" s="741"/>
    </row>
    <row r="486">
      <c r="F486" s="741"/>
    </row>
    <row r="487">
      <c r="F487" s="741"/>
    </row>
    <row r="488">
      <c r="F488" s="741"/>
    </row>
    <row r="489">
      <c r="F489" s="741"/>
    </row>
    <row r="490">
      <c r="F490" s="741"/>
    </row>
    <row r="491">
      <c r="F491" s="741"/>
    </row>
    <row r="492">
      <c r="F492" s="741"/>
    </row>
    <row r="493">
      <c r="F493" s="741"/>
    </row>
    <row r="494">
      <c r="F494" s="741"/>
    </row>
    <row r="495">
      <c r="F495" s="741"/>
    </row>
    <row r="496">
      <c r="F496" s="741"/>
    </row>
    <row r="497">
      <c r="F497" s="741"/>
    </row>
    <row r="498">
      <c r="F498" s="741"/>
    </row>
    <row r="499">
      <c r="F499" s="741"/>
    </row>
    <row r="500">
      <c r="F500" s="741"/>
    </row>
    <row r="501">
      <c r="F501" s="741"/>
    </row>
    <row r="502">
      <c r="F502" s="741"/>
    </row>
    <row r="503">
      <c r="F503" s="741"/>
    </row>
    <row r="504">
      <c r="F504" s="741"/>
    </row>
    <row r="505">
      <c r="F505" s="741"/>
    </row>
    <row r="506">
      <c r="F506" s="741"/>
    </row>
    <row r="507">
      <c r="F507" s="741"/>
    </row>
    <row r="508">
      <c r="F508" s="741"/>
    </row>
    <row r="509">
      <c r="F509" s="741"/>
    </row>
    <row r="510">
      <c r="F510" s="741"/>
    </row>
    <row r="511">
      <c r="F511" s="741"/>
    </row>
    <row r="512">
      <c r="F512" s="741"/>
    </row>
    <row r="513">
      <c r="F513" s="741"/>
    </row>
    <row r="514">
      <c r="F514" s="741"/>
    </row>
    <row r="515">
      <c r="F515" s="741"/>
    </row>
    <row r="516">
      <c r="F516" s="741"/>
    </row>
    <row r="517">
      <c r="F517" s="741"/>
    </row>
    <row r="518">
      <c r="F518" s="741"/>
    </row>
    <row r="519">
      <c r="F519" s="741"/>
    </row>
    <row r="520">
      <c r="F520" s="741"/>
    </row>
    <row r="521">
      <c r="F521" s="741"/>
    </row>
    <row r="522">
      <c r="F522" s="741"/>
    </row>
    <row r="523">
      <c r="F523" s="741"/>
    </row>
    <row r="524">
      <c r="F524" s="741"/>
    </row>
    <row r="525">
      <c r="F525" s="741"/>
    </row>
    <row r="526">
      <c r="F526" s="741"/>
    </row>
    <row r="527">
      <c r="F527" s="741"/>
    </row>
    <row r="528">
      <c r="F528" s="741"/>
    </row>
    <row r="529">
      <c r="F529" s="741"/>
    </row>
    <row r="530">
      <c r="F530" s="741"/>
    </row>
    <row r="531">
      <c r="F531" s="741"/>
    </row>
    <row r="532">
      <c r="F532" s="741"/>
    </row>
    <row r="533">
      <c r="F533" s="741"/>
    </row>
    <row r="534">
      <c r="F534" s="741"/>
    </row>
    <row r="535">
      <c r="F535" s="741"/>
    </row>
    <row r="536">
      <c r="F536" s="741"/>
    </row>
    <row r="537">
      <c r="F537" s="741"/>
    </row>
    <row r="538">
      <c r="F538" s="741"/>
    </row>
    <row r="539">
      <c r="F539" s="741"/>
    </row>
    <row r="540">
      <c r="F540" s="741"/>
    </row>
    <row r="541">
      <c r="F541" s="741"/>
    </row>
    <row r="542">
      <c r="F542" s="741"/>
    </row>
    <row r="543">
      <c r="F543" s="741"/>
    </row>
    <row r="544">
      <c r="F544" s="741"/>
    </row>
    <row r="545">
      <c r="F545" s="741"/>
    </row>
    <row r="546">
      <c r="F546" s="741"/>
    </row>
    <row r="547">
      <c r="F547" s="741"/>
    </row>
    <row r="548">
      <c r="F548" s="741"/>
    </row>
    <row r="549">
      <c r="F549" s="741"/>
    </row>
    <row r="550">
      <c r="F550" s="741"/>
    </row>
    <row r="551">
      <c r="F551" s="741"/>
    </row>
    <row r="552">
      <c r="F552" s="741"/>
    </row>
    <row r="553">
      <c r="F553" s="741"/>
    </row>
    <row r="554">
      <c r="F554" s="741"/>
    </row>
    <row r="555">
      <c r="F555" s="741"/>
    </row>
    <row r="556">
      <c r="F556" s="741"/>
    </row>
    <row r="557">
      <c r="F557" s="741"/>
    </row>
    <row r="558">
      <c r="F558" s="741"/>
    </row>
    <row r="559">
      <c r="F559" s="741"/>
    </row>
    <row r="560">
      <c r="F560" s="741"/>
    </row>
    <row r="561">
      <c r="F561" s="741"/>
    </row>
    <row r="562">
      <c r="F562" s="741"/>
    </row>
    <row r="563">
      <c r="F563" s="741"/>
    </row>
    <row r="564">
      <c r="F564" s="741"/>
    </row>
    <row r="565">
      <c r="F565" s="741"/>
    </row>
    <row r="566">
      <c r="F566" s="741"/>
    </row>
    <row r="567">
      <c r="F567" s="741"/>
    </row>
    <row r="568">
      <c r="F568" s="741"/>
    </row>
    <row r="569">
      <c r="F569" s="741"/>
    </row>
    <row r="570">
      <c r="F570" s="741"/>
    </row>
    <row r="571">
      <c r="F571" s="741"/>
    </row>
    <row r="572">
      <c r="F572" s="741"/>
    </row>
    <row r="573">
      <c r="F573" s="741"/>
    </row>
    <row r="574">
      <c r="F574" s="741"/>
    </row>
    <row r="575">
      <c r="F575" s="741"/>
    </row>
    <row r="576">
      <c r="F576" s="741"/>
    </row>
    <row r="577">
      <c r="F577" s="741"/>
    </row>
    <row r="578">
      <c r="F578" s="741"/>
    </row>
    <row r="579">
      <c r="F579" s="741"/>
    </row>
    <row r="580">
      <c r="F580" s="741"/>
    </row>
    <row r="581">
      <c r="F581" s="741"/>
    </row>
    <row r="582">
      <c r="F582" s="741"/>
    </row>
    <row r="583">
      <c r="F583" s="741"/>
    </row>
    <row r="584">
      <c r="F584" s="741"/>
    </row>
    <row r="585">
      <c r="F585" s="741"/>
    </row>
    <row r="586">
      <c r="F586" s="741"/>
    </row>
    <row r="587">
      <c r="F587" s="741"/>
    </row>
    <row r="588">
      <c r="F588" s="741"/>
    </row>
    <row r="589">
      <c r="F589" s="741"/>
    </row>
    <row r="590">
      <c r="F590" s="741"/>
    </row>
    <row r="591">
      <c r="F591" s="741"/>
    </row>
    <row r="592">
      <c r="F592" s="741"/>
    </row>
    <row r="593">
      <c r="F593" s="741"/>
    </row>
    <row r="594">
      <c r="F594" s="741"/>
    </row>
    <row r="595">
      <c r="F595" s="741"/>
    </row>
    <row r="596">
      <c r="F596" s="741"/>
    </row>
    <row r="597">
      <c r="F597" s="741"/>
    </row>
    <row r="598">
      <c r="F598" s="741"/>
    </row>
    <row r="599">
      <c r="F599" s="741"/>
    </row>
    <row r="600">
      <c r="F600" s="741"/>
    </row>
    <row r="601">
      <c r="F601" s="741"/>
    </row>
    <row r="602">
      <c r="F602" s="741"/>
    </row>
    <row r="603">
      <c r="F603" s="741"/>
    </row>
    <row r="604">
      <c r="F604" s="741"/>
    </row>
    <row r="605">
      <c r="F605" s="741"/>
    </row>
    <row r="606">
      <c r="F606" s="741"/>
    </row>
    <row r="607">
      <c r="F607" s="741"/>
    </row>
    <row r="608">
      <c r="F608" s="741"/>
    </row>
    <row r="609">
      <c r="F609" s="741"/>
    </row>
    <row r="610">
      <c r="F610" s="741"/>
    </row>
    <row r="611">
      <c r="F611" s="741"/>
    </row>
    <row r="612">
      <c r="F612" s="741"/>
    </row>
    <row r="613">
      <c r="F613" s="741"/>
    </row>
    <row r="614">
      <c r="F614" s="741"/>
    </row>
    <row r="615">
      <c r="F615" s="741"/>
    </row>
    <row r="616">
      <c r="F616" s="741"/>
    </row>
    <row r="617">
      <c r="F617" s="741"/>
    </row>
    <row r="618">
      <c r="F618" s="741"/>
    </row>
    <row r="619">
      <c r="F619" s="741"/>
    </row>
    <row r="620">
      <c r="F620" s="741"/>
    </row>
    <row r="621">
      <c r="F621" s="741"/>
    </row>
    <row r="622">
      <c r="F622" s="741"/>
    </row>
    <row r="623">
      <c r="F623" s="741"/>
    </row>
    <row r="624">
      <c r="F624" s="741"/>
    </row>
    <row r="625">
      <c r="F625" s="741"/>
    </row>
    <row r="626">
      <c r="F626" s="741"/>
    </row>
    <row r="627">
      <c r="F627" s="741"/>
    </row>
    <row r="628">
      <c r="F628" s="741"/>
    </row>
    <row r="629">
      <c r="F629" s="741"/>
    </row>
    <row r="630">
      <c r="F630" s="741"/>
    </row>
    <row r="631">
      <c r="F631" s="741"/>
    </row>
    <row r="632">
      <c r="F632" s="741"/>
    </row>
    <row r="633">
      <c r="F633" s="741"/>
    </row>
    <row r="634">
      <c r="F634" s="741"/>
    </row>
    <row r="635">
      <c r="F635" s="741"/>
    </row>
    <row r="636">
      <c r="F636" s="741"/>
    </row>
    <row r="637">
      <c r="F637" s="741"/>
    </row>
    <row r="638">
      <c r="F638" s="741"/>
    </row>
    <row r="639">
      <c r="F639" s="741"/>
    </row>
    <row r="640">
      <c r="F640" s="741"/>
    </row>
    <row r="641">
      <c r="F641" s="741"/>
    </row>
    <row r="642">
      <c r="F642" s="741"/>
    </row>
    <row r="643">
      <c r="F643" s="741"/>
    </row>
    <row r="644">
      <c r="F644" s="741"/>
    </row>
    <row r="645">
      <c r="F645" s="741"/>
    </row>
    <row r="646">
      <c r="F646" s="741"/>
    </row>
    <row r="647">
      <c r="F647" s="741"/>
    </row>
    <row r="648">
      <c r="F648" s="741"/>
    </row>
    <row r="649">
      <c r="F649" s="741"/>
    </row>
    <row r="650">
      <c r="F650" s="741"/>
    </row>
    <row r="651">
      <c r="F651" s="741"/>
    </row>
    <row r="652">
      <c r="F652" s="741"/>
    </row>
    <row r="653">
      <c r="F653" s="741"/>
    </row>
    <row r="654">
      <c r="F654" s="741"/>
    </row>
    <row r="655">
      <c r="F655" s="741"/>
    </row>
    <row r="656">
      <c r="F656" s="741"/>
    </row>
    <row r="657">
      <c r="F657" s="741"/>
    </row>
    <row r="658">
      <c r="F658" s="741"/>
    </row>
    <row r="659">
      <c r="F659" s="741"/>
    </row>
    <row r="660">
      <c r="F660" s="741"/>
    </row>
    <row r="661">
      <c r="F661" s="741"/>
    </row>
    <row r="662">
      <c r="F662" s="741"/>
    </row>
    <row r="663">
      <c r="F663" s="741"/>
    </row>
    <row r="664">
      <c r="F664" s="741"/>
    </row>
    <row r="665">
      <c r="F665" s="741"/>
    </row>
    <row r="666">
      <c r="F666" s="741"/>
    </row>
    <row r="667">
      <c r="F667" s="741"/>
    </row>
    <row r="668">
      <c r="F668" s="741"/>
    </row>
    <row r="669">
      <c r="F669" s="741"/>
    </row>
    <row r="670">
      <c r="F670" s="741"/>
    </row>
    <row r="671">
      <c r="F671" s="741"/>
    </row>
    <row r="672">
      <c r="F672" s="741"/>
    </row>
    <row r="673">
      <c r="F673" s="741"/>
    </row>
    <row r="674">
      <c r="F674" s="741"/>
    </row>
    <row r="675">
      <c r="F675" s="741"/>
    </row>
    <row r="676">
      <c r="F676" s="741"/>
    </row>
    <row r="677">
      <c r="F677" s="741"/>
    </row>
    <row r="678">
      <c r="F678" s="741"/>
    </row>
    <row r="679">
      <c r="F679" s="741"/>
    </row>
    <row r="680">
      <c r="F680" s="741"/>
    </row>
    <row r="681">
      <c r="F681" s="741"/>
    </row>
    <row r="682">
      <c r="F682" s="741"/>
    </row>
    <row r="683">
      <c r="F683" s="741"/>
    </row>
    <row r="684">
      <c r="F684" s="741"/>
    </row>
    <row r="685">
      <c r="F685" s="741"/>
    </row>
    <row r="686">
      <c r="F686" s="741"/>
    </row>
    <row r="687">
      <c r="F687" s="741"/>
    </row>
    <row r="688">
      <c r="F688" s="741"/>
    </row>
    <row r="689">
      <c r="F689" s="741"/>
    </row>
    <row r="690">
      <c r="F690" s="741"/>
    </row>
    <row r="691">
      <c r="F691" s="741"/>
    </row>
    <row r="692">
      <c r="F692" s="741"/>
    </row>
    <row r="693">
      <c r="F693" s="741"/>
    </row>
    <row r="694">
      <c r="F694" s="741"/>
    </row>
    <row r="695">
      <c r="F695" s="741"/>
    </row>
    <row r="696">
      <c r="F696" s="741"/>
    </row>
    <row r="697">
      <c r="F697" s="741"/>
    </row>
    <row r="698">
      <c r="F698" s="741"/>
    </row>
    <row r="699">
      <c r="F699" s="741"/>
    </row>
    <row r="700">
      <c r="F700" s="741"/>
    </row>
    <row r="701">
      <c r="F701" s="741"/>
    </row>
    <row r="702">
      <c r="F702" s="741"/>
    </row>
    <row r="703">
      <c r="F703" s="741"/>
    </row>
    <row r="704">
      <c r="F704" s="741"/>
    </row>
    <row r="705">
      <c r="F705" s="741"/>
    </row>
    <row r="706">
      <c r="F706" s="741"/>
    </row>
    <row r="707">
      <c r="F707" s="741"/>
    </row>
    <row r="708">
      <c r="F708" s="741"/>
    </row>
    <row r="709">
      <c r="F709" s="741"/>
    </row>
    <row r="710">
      <c r="F710" s="741"/>
    </row>
    <row r="711">
      <c r="F711" s="741"/>
    </row>
    <row r="712">
      <c r="F712" s="741"/>
    </row>
    <row r="713">
      <c r="F713" s="741"/>
    </row>
    <row r="714">
      <c r="F714" s="741"/>
    </row>
    <row r="715">
      <c r="F715" s="741"/>
    </row>
    <row r="716">
      <c r="F716" s="741"/>
    </row>
    <row r="717">
      <c r="F717" s="741"/>
    </row>
    <row r="718">
      <c r="F718" s="741"/>
    </row>
    <row r="719">
      <c r="F719" s="741"/>
    </row>
    <row r="720">
      <c r="F720" s="741"/>
    </row>
    <row r="721">
      <c r="F721" s="741"/>
    </row>
    <row r="722">
      <c r="F722" s="741"/>
    </row>
    <row r="723">
      <c r="F723" s="741"/>
    </row>
    <row r="724">
      <c r="F724" s="741"/>
    </row>
    <row r="725">
      <c r="F725" s="741"/>
    </row>
    <row r="726">
      <c r="F726" s="741"/>
    </row>
    <row r="727">
      <c r="F727" s="741"/>
    </row>
    <row r="728">
      <c r="F728" s="741"/>
    </row>
    <row r="729">
      <c r="F729" s="741"/>
    </row>
    <row r="730">
      <c r="F730" s="741"/>
    </row>
    <row r="731">
      <c r="F731" s="741"/>
    </row>
    <row r="732">
      <c r="F732" s="741"/>
    </row>
    <row r="733">
      <c r="F733" s="741"/>
    </row>
    <row r="734">
      <c r="F734" s="741"/>
    </row>
    <row r="735">
      <c r="F735" s="741"/>
    </row>
    <row r="736">
      <c r="F736" s="741"/>
    </row>
    <row r="737">
      <c r="F737" s="741"/>
    </row>
    <row r="738">
      <c r="F738" s="741"/>
    </row>
    <row r="739">
      <c r="F739" s="741"/>
    </row>
    <row r="740">
      <c r="F740" s="741"/>
    </row>
    <row r="741">
      <c r="F741" s="741"/>
    </row>
    <row r="742">
      <c r="F742" s="741"/>
    </row>
    <row r="743">
      <c r="F743" s="741"/>
    </row>
    <row r="744">
      <c r="F744" s="741"/>
    </row>
    <row r="745">
      <c r="F745" s="741"/>
    </row>
    <row r="746">
      <c r="F746" s="741"/>
    </row>
    <row r="747">
      <c r="F747" s="741"/>
    </row>
    <row r="748">
      <c r="F748" s="741"/>
    </row>
    <row r="749">
      <c r="F749" s="741"/>
    </row>
    <row r="750">
      <c r="F750" s="741"/>
    </row>
    <row r="751">
      <c r="F751" s="741"/>
    </row>
    <row r="752">
      <c r="F752" s="741"/>
    </row>
    <row r="753">
      <c r="F753" s="741"/>
    </row>
    <row r="754">
      <c r="F754" s="741"/>
    </row>
    <row r="755">
      <c r="F755" s="741"/>
    </row>
    <row r="756">
      <c r="F756" s="741"/>
    </row>
    <row r="757">
      <c r="F757" s="741"/>
    </row>
    <row r="758">
      <c r="F758" s="741"/>
    </row>
    <row r="759">
      <c r="F759" s="741"/>
    </row>
    <row r="760">
      <c r="F760" s="741"/>
    </row>
    <row r="761">
      <c r="F761" s="741"/>
    </row>
    <row r="762">
      <c r="F762" s="741"/>
    </row>
    <row r="763">
      <c r="F763" s="741"/>
    </row>
    <row r="764">
      <c r="F764" s="741"/>
    </row>
    <row r="765">
      <c r="F765" s="741"/>
    </row>
    <row r="766">
      <c r="F766" s="741"/>
    </row>
    <row r="767">
      <c r="F767" s="741"/>
    </row>
    <row r="768">
      <c r="F768" s="741"/>
    </row>
    <row r="769">
      <c r="F769" s="741"/>
    </row>
    <row r="770">
      <c r="F770" s="741"/>
    </row>
    <row r="771">
      <c r="F771" s="741"/>
    </row>
    <row r="772">
      <c r="F772" s="741"/>
    </row>
    <row r="773">
      <c r="F773" s="741"/>
    </row>
    <row r="774">
      <c r="F774" s="741"/>
    </row>
    <row r="775">
      <c r="F775" s="741"/>
    </row>
    <row r="776">
      <c r="F776" s="741"/>
    </row>
    <row r="777">
      <c r="F777" s="741"/>
    </row>
    <row r="778">
      <c r="F778" s="741"/>
    </row>
    <row r="779">
      <c r="F779" s="741"/>
    </row>
    <row r="780">
      <c r="F780" s="741"/>
    </row>
    <row r="781">
      <c r="F781" s="741"/>
    </row>
    <row r="782">
      <c r="F782" s="741"/>
    </row>
    <row r="783">
      <c r="F783" s="741"/>
    </row>
    <row r="784">
      <c r="F784" s="741"/>
    </row>
    <row r="785">
      <c r="F785" s="741"/>
    </row>
    <row r="786">
      <c r="F786" s="741"/>
    </row>
    <row r="787">
      <c r="F787" s="741"/>
    </row>
    <row r="788">
      <c r="F788" s="741"/>
    </row>
    <row r="789">
      <c r="F789" s="741"/>
    </row>
    <row r="790">
      <c r="F790" s="741"/>
    </row>
    <row r="791">
      <c r="F791" s="741"/>
    </row>
    <row r="792">
      <c r="F792" s="741"/>
    </row>
    <row r="793">
      <c r="F793" s="741"/>
    </row>
    <row r="794">
      <c r="F794" s="741"/>
    </row>
    <row r="795">
      <c r="F795" s="741"/>
    </row>
    <row r="796">
      <c r="F796" s="741"/>
    </row>
    <row r="797">
      <c r="F797" s="741"/>
    </row>
    <row r="798">
      <c r="F798" s="741"/>
    </row>
    <row r="799">
      <c r="F799" s="741"/>
    </row>
    <row r="800">
      <c r="F800" s="741"/>
    </row>
    <row r="801">
      <c r="F801" s="741"/>
    </row>
    <row r="802">
      <c r="F802" s="741"/>
    </row>
    <row r="803">
      <c r="F803" s="741"/>
    </row>
    <row r="804">
      <c r="F804" s="741"/>
    </row>
    <row r="805">
      <c r="F805" s="741"/>
    </row>
    <row r="806">
      <c r="F806" s="741"/>
    </row>
    <row r="807">
      <c r="F807" s="741"/>
    </row>
    <row r="808">
      <c r="F808" s="741"/>
    </row>
    <row r="809">
      <c r="F809" s="741"/>
    </row>
    <row r="810">
      <c r="F810" s="741"/>
    </row>
    <row r="811">
      <c r="F811" s="741"/>
    </row>
    <row r="812">
      <c r="F812" s="741"/>
    </row>
    <row r="813">
      <c r="F813" s="741"/>
    </row>
    <row r="814">
      <c r="F814" s="741"/>
    </row>
    <row r="815">
      <c r="F815" s="741"/>
    </row>
    <row r="816">
      <c r="F816" s="741"/>
    </row>
    <row r="817">
      <c r="F817" s="741"/>
    </row>
    <row r="818">
      <c r="F818" s="741"/>
    </row>
    <row r="819">
      <c r="F819" s="741"/>
    </row>
    <row r="820">
      <c r="F820" s="741"/>
    </row>
    <row r="821">
      <c r="F821" s="741"/>
    </row>
    <row r="822">
      <c r="F822" s="741"/>
    </row>
    <row r="823">
      <c r="F823" s="741"/>
    </row>
    <row r="824">
      <c r="F824" s="741"/>
    </row>
    <row r="825">
      <c r="F825" s="741"/>
    </row>
    <row r="826">
      <c r="F826" s="741"/>
    </row>
    <row r="827">
      <c r="F827" s="741"/>
    </row>
    <row r="828">
      <c r="F828" s="741"/>
    </row>
    <row r="829">
      <c r="F829" s="741"/>
    </row>
    <row r="830">
      <c r="F830" s="741"/>
    </row>
    <row r="831">
      <c r="F831" s="741"/>
    </row>
    <row r="832">
      <c r="F832" s="741"/>
    </row>
    <row r="833">
      <c r="F833" s="741"/>
    </row>
    <row r="834">
      <c r="F834" s="741"/>
    </row>
    <row r="835">
      <c r="F835" s="741"/>
    </row>
    <row r="836">
      <c r="F836" s="741"/>
    </row>
    <row r="837">
      <c r="F837" s="741"/>
    </row>
    <row r="838">
      <c r="F838" s="741"/>
    </row>
    <row r="839">
      <c r="F839" s="741"/>
    </row>
    <row r="840">
      <c r="F840" s="741"/>
    </row>
    <row r="841">
      <c r="F841" s="741"/>
    </row>
    <row r="842">
      <c r="F842" s="741"/>
    </row>
    <row r="843">
      <c r="F843" s="741"/>
    </row>
    <row r="844">
      <c r="F844" s="741"/>
    </row>
    <row r="845">
      <c r="F845" s="741"/>
    </row>
    <row r="846">
      <c r="F846" s="741"/>
    </row>
    <row r="847">
      <c r="F847" s="741"/>
    </row>
    <row r="848">
      <c r="F848" s="741"/>
    </row>
    <row r="849">
      <c r="F849" s="741"/>
    </row>
    <row r="850">
      <c r="F850" s="741"/>
    </row>
    <row r="851">
      <c r="F851" s="741"/>
    </row>
    <row r="852">
      <c r="F852" s="741"/>
    </row>
    <row r="853">
      <c r="F853" s="741"/>
    </row>
    <row r="854">
      <c r="F854" s="741"/>
    </row>
    <row r="855">
      <c r="F855" s="741"/>
    </row>
    <row r="856">
      <c r="F856" s="741"/>
    </row>
    <row r="857">
      <c r="F857" s="741"/>
    </row>
    <row r="858">
      <c r="F858" s="741"/>
    </row>
    <row r="859">
      <c r="F859" s="741"/>
    </row>
    <row r="860">
      <c r="F860" s="741"/>
    </row>
    <row r="861">
      <c r="F861" s="741"/>
    </row>
    <row r="862">
      <c r="F862" s="741"/>
    </row>
    <row r="863">
      <c r="F863" s="741"/>
    </row>
    <row r="864">
      <c r="F864" s="741"/>
    </row>
    <row r="865">
      <c r="F865" s="741"/>
    </row>
    <row r="866">
      <c r="F866" s="741"/>
    </row>
    <row r="867">
      <c r="F867" s="741"/>
    </row>
    <row r="868">
      <c r="F868" s="741"/>
    </row>
    <row r="869">
      <c r="F869" s="741"/>
    </row>
    <row r="870">
      <c r="F870" s="741"/>
    </row>
    <row r="871">
      <c r="F871" s="741"/>
    </row>
    <row r="872">
      <c r="F872" s="741"/>
    </row>
    <row r="873">
      <c r="F873" s="741"/>
    </row>
    <row r="874">
      <c r="F874" s="741"/>
    </row>
    <row r="875">
      <c r="F875" s="741"/>
    </row>
    <row r="876">
      <c r="F876" s="741"/>
    </row>
    <row r="877">
      <c r="F877" s="741"/>
    </row>
    <row r="878">
      <c r="F878" s="741"/>
    </row>
    <row r="879">
      <c r="F879" s="741"/>
    </row>
    <row r="880">
      <c r="F880" s="741"/>
    </row>
    <row r="881">
      <c r="F881" s="741"/>
    </row>
    <row r="882">
      <c r="F882" s="741"/>
    </row>
    <row r="883">
      <c r="F883" s="741"/>
    </row>
    <row r="884">
      <c r="F884" s="741"/>
    </row>
    <row r="885">
      <c r="F885" s="741"/>
    </row>
    <row r="886">
      <c r="F886" s="741"/>
    </row>
    <row r="887">
      <c r="F887" s="741"/>
    </row>
    <row r="888">
      <c r="F888" s="741"/>
    </row>
    <row r="889">
      <c r="F889" s="741"/>
    </row>
    <row r="890">
      <c r="F890" s="741"/>
    </row>
    <row r="891">
      <c r="F891" s="741"/>
    </row>
    <row r="892">
      <c r="F892" s="741"/>
    </row>
    <row r="893">
      <c r="F893" s="741"/>
    </row>
    <row r="894">
      <c r="F894" s="741"/>
    </row>
    <row r="895">
      <c r="F895" s="741"/>
    </row>
    <row r="896">
      <c r="F896" s="741"/>
    </row>
    <row r="897">
      <c r="F897" s="741"/>
    </row>
    <row r="898">
      <c r="F898" s="741"/>
    </row>
    <row r="899">
      <c r="F899" s="741"/>
    </row>
    <row r="900">
      <c r="F900" s="741"/>
    </row>
    <row r="901">
      <c r="F901" s="741"/>
    </row>
    <row r="902">
      <c r="F902" s="741"/>
    </row>
    <row r="903">
      <c r="F903" s="741"/>
    </row>
    <row r="904">
      <c r="F904" s="741"/>
    </row>
    <row r="905">
      <c r="F905" s="741"/>
    </row>
    <row r="906">
      <c r="F906" s="741"/>
    </row>
    <row r="907">
      <c r="F907" s="741"/>
    </row>
    <row r="908">
      <c r="F908" s="741"/>
    </row>
    <row r="909">
      <c r="F909" s="741"/>
    </row>
    <row r="910">
      <c r="F910" s="741"/>
    </row>
    <row r="911">
      <c r="F911" s="741"/>
    </row>
    <row r="912">
      <c r="F912" s="741"/>
    </row>
    <row r="913">
      <c r="F913" s="741"/>
    </row>
    <row r="914">
      <c r="F914" s="741"/>
    </row>
    <row r="915">
      <c r="F915" s="741"/>
    </row>
    <row r="916">
      <c r="F916" s="741"/>
    </row>
    <row r="917">
      <c r="F917" s="741"/>
    </row>
    <row r="918">
      <c r="F918" s="741"/>
    </row>
    <row r="919">
      <c r="F919" s="741"/>
    </row>
    <row r="920">
      <c r="F920" s="741"/>
    </row>
    <row r="921">
      <c r="F921" s="741"/>
    </row>
    <row r="922">
      <c r="F922" s="741"/>
    </row>
    <row r="923">
      <c r="F923" s="741"/>
    </row>
    <row r="924">
      <c r="F924" s="741"/>
    </row>
    <row r="925">
      <c r="F925" s="741"/>
    </row>
    <row r="926">
      <c r="F926" s="741"/>
    </row>
    <row r="927">
      <c r="F927" s="741"/>
    </row>
    <row r="928">
      <c r="F928" s="741"/>
    </row>
    <row r="929">
      <c r="F929" s="741"/>
    </row>
    <row r="930">
      <c r="F930" s="741"/>
    </row>
    <row r="931">
      <c r="F931" s="741"/>
    </row>
    <row r="932">
      <c r="F932" s="741"/>
    </row>
    <row r="933">
      <c r="F933" s="741"/>
    </row>
    <row r="934">
      <c r="F934" s="741"/>
    </row>
    <row r="935">
      <c r="F935" s="741"/>
    </row>
    <row r="936">
      <c r="F936" s="741"/>
    </row>
    <row r="937">
      <c r="F937" s="741"/>
    </row>
    <row r="938">
      <c r="F938" s="741"/>
    </row>
    <row r="939">
      <c r="F939" s="741"/>
    </row>
    <row r="940">
      <c r="F940" s="741"/>
    </row>
    <row r="941">
      <c r="F941" s="741"/>
    </row>
    <row r="942">
      <c r="F942" s="741"/>
    </row>
    <row r="943">
      <c r="F943" s="741"/>
    </row>
    <row r="944">
      <c r="F944" s="741"/>
    </row>
    <row r="945">
      <c r="F945" s="741"/>
    </row>
    <row r="946">
      <c r="F946" s="741"/>
    </row>
    <row r="947">
      <c r="F947" s="741"/>
    </row>
    <row r="948">
      <c r="F948" s="741"/>
    </row>
    <row r="949">
      <c r="F949" s="741"/>
    </row>
    <row r="950">
      <c r="F950" s="741"/>
    </row>
    <row r="951">
      <c r="F951" s="741"/>
    </row>
    <row r="952">
      <c r="F952" s="741"/>
    </row>
    <row r="953">
      <c r="F953" s="741"/>
    </row>
    <row r="954">
      <c r="F954" s="741"/>
    </row>
    <row r="955">
      <c r="F955" s="741"/>
    </row>
    <row r="956">
      <c r="F956" s="741"/>
    </row>
    <row r="957">
      <c r="F957" s="741"/>
    </row>
    <row r="958">
      <c r="F958" s="741"/>
    </row>
    <row r="959">
      <c r="F959" s="741"/>
    </row>
    <row r="960">
      <c r="F960" s="741"/>
    </row>
    <row r="961">
      <c r="F961" s="741"/>
    </row>
    <row r="962">
      <c r="F962" s="741"/>
    </row>
    <row r="963">
      <c r="F963" s="741"/>
    </row>
    <row r="964">
      <c r="F964" s="741"/>
    </row>
    <row r="965">
      <c r="F965" s="741"/>
    </row>
    <row r="966">
      <c r="F966" s="741"/>
    </row>
    <row r="967">
      <c r="F967" s="741"/>
    </row>
    <row r="968">
      <c r="F968" s="741"/>
    </row>
    <row r="969">
      <c r="F969" s="741"/>
    </row>
    <row r="970">
      <c r="F970" s="741"/>
    </row>
    <row r="971">
      <c r="F971" s="741"/>
    </row>
    <row r="972">
      <c r="F972" s="741"/>
    </row>
    <row r="973">
      <c r="F973" s="741"/>
    </row>
    <row r="974">
      <c r="F974" s="741"/>
    </row>
    <row r="975">
      <c r="F975" s="741"/>
    </row>
    <row r="976">
      <c r="F976" s="741"/>
    </row>
    <row r="977">
      <c r="F977" s="741"/>
    </row>
    <row r="978">
      <c r="F978" s="741"/>
    </row>
    <row r="979">
      <c r="F979" s="741"/>
    </row>
    <row r="980">
      <c r="F980" s="741"/>
    </row>
    <row r="981">
      <c r="F981" s="741"/>
    </row>
    <row r="982">
      <c r="F982" s="741"/>
    </row>
    <row r="983">
      <c r="F983" s="741"/>
    </row>
    <row r="984">
      <c r="F984" s="741"/>
    </row>
    <row r="985">
      <c r="F985" s="741"/>
    </row>
    <row r="986">
      <c r="F986" s="741"/>
    </row>
    <row r="987">
      <c r="F987" s="741"/>
    </row>
    <row r="988">
      <c r="F988" s="741"/>
    </row>
    <row r="989">
      <c r="F989" s="741"/>
    </row>
    <row r="990">
      <c r="F990" s="741"/>
    </row>
    <row r="991">
      <c r="F991" s="741"/>
    </row>
    <row r="992">
      <c r="F992" s="741"/>
    </row>
    <row r="993">
      <c r="F993" s="741"/>
    </row>
    <row r="994">
      <c r="F994" s="741"/>
    </row>
    <row r="995">
      <c r="F995" s="741"/>
    </row>
    <row r="996">
      <c r="F996" s="741"/>
    </row>
    <row r="997">
      <c r="F997" s="741"/>
    </row>
    <row r="998">
      <c r="F998" s="741"/>
    </row>
    <row r="999">
      <c r="F999" s="741"/>
    </row>
    <row r="1000">
      <c r="F1000" s="741"/>
    </row>
  </sheetData>
  <mergeCells count="24">
    <mergeCell ref="B2:C2"/>
    <mergeCell ref="D2:E2"/>
    <mergeCell ref="B3:C3"/>
    <mergeCell ref="D3:E3"/>
    <mergeCell ref="H3:O3"/>
    <mergeCell ref="B5:C5"/>
    <mergeCell ref="D5:E5"/>
    <mergeCell ref="B7:C7"/>
    <mergeCell ref="D7:E7"/>
    <mergeCell ref="B9:C9"/>
    <mergeCell ref="D9:E9"/>
    <mergeCell ref="D10:E10"/>
    <mergeCell ref="B11:B13"/>
    <mergeCell ref="B15:B17"/>
    <mergeCell ref="B23:B25"/>
    <mergeCell ref="B65:B66"/>
    <mergeCell ref="B67:B68"/>
    <mergeCell ref="B19:B21"/>
    <mergeCell ref="B27:C27"/>
    <mergeCell ref="D27:E27"/>
    <mergeCell ref="B28:C28"/>
    <mergeCell ref="D28:E28"/>
    <mergeCell ref="B29:C29"/>
    <mergeCell ref="D29:E29"/>
  </mergeCells>
  <conditionalFormatting sqref="D5">
    <cfRule type="cellIs" dxfId="1" priority="1" operator="equal">
      <formula>"BNG Targets Not Met ▲"</formula>
    </cfRule>
  </conditionalFormatting>
  <conditionalFormatting sqref="D5">
    <cfRule type="cellIs" dxfId="10" priority="2" operator="equal">
      <formula>"BNG Targets Met ✓"</formula>
    </cfRule>
  </conditionalFormatting>
  <conditionalFormatting sqref="D23:D25">
    <cfRule type="cellIs" dxfId="16" priority="3" operator="equal">
      <formula>"% target not appropriate"</formula>
    </cfRule>
  </conditionalFormatting>
  <conditionalFormatting sqref="D23:D25">
    <cfRule type="cellIs" dxfId="1" priority="4" operator="lessThan">
      <formula>0</formula>
    </cfRule>
  </conditionalFormatting>
  <conditionalFormatting sqref="D9">
    <cfRule type="cellIs" dxfId="1" priority="5" operator="equal">
      <formula>"BNG Tragets Not Met ▲"</formula>
    </cfRule>
  </conditionalFormatting>
  <conditionalFormatting sqref="D9">
    <cfRule type="cellIs" dxfId="10" priority="6" operator="equal">
      <formula>"BNG Targets Met ✓"</formula>
    </cfRule>
  </conditionalFormatting>
  <conditionalFormatting sqref="D19:E21">
    <cfRule type="cellIs" dxfId="1" priority="7" operator="equal">
      <formula>"Error ▲"</formula>
    </cfRule>
  </conditionalFormatting>
  <conditionalFormatting sqref="D19:E21">
    <cfRule type="cellIs" dxfId="1" priority="8" operator="lessThan">
      <formula>0</formula>
    </cfRule>
  </conditionalFormatting>
  <conditionalFormatting sqref="D19:E21">
    <cfRule type="cellIs" dxfId="10" priority="9" operator="equal">
      <formula>0</formula>
    </cfRule>
  </conditionalFormatting>
  <conditionalFormatting sqref="E23:E25">
    <cfRule type="containsBlanks" dxfId="18" priority="10">
      <formula>LEN(TRIM(E23))=0</formula>
    </cfRule>
  </conditionalFormatting>
  <conditionalFormatting sqref="E23:E25">
    <cfRule type="expression" dxfId="10" priority="11">
      <formula>$F23&gt;=0</formula>
    </cfRule>
  </conditionalFormatting>
  <conditionalFormatting sqref="E23:E25">
    <cfRule type="expression" dxfId="1" priority="12">
      <formula>$F23&lt;0</formula>
    </cfRule>
  </conditionalFormatting>
  <conditionalFormatting sqref="C36:D38">
    <cfRule type="cellIs" dxfId="1" priority="13" operator="equal">
      <formula>"Error - Enter required % on start page"</formula>
    </cfRule>
  </conditionalFormatting>
  <conditionalFormatting sqref="C36:D38">
    <cfRule type="cellIs" dxfId="1" priority="14" operator="lessThan">
      <formula>0</formula>
    </cfRule>
  </conditionalFormatting>
  <conditionalFormatting sqref="C36:D38">
    <cfRule type="cellIs" dxfId="1" priority="15" operator="equal">
      <formula>"Error"</formula>
    </cfRule>
  </conditionalFormatting>
  <conditionalFormatting sqref="D7 G7:H7">
    <cfRule type="cellIs" dxfId="1" priority="16" operator="equal">
      <formula>"Trading Rules Not Satisfied ▲"</formula>
    </cfRule>
  </conditionalFormatting>
  <conditionalFormatting sqref="D7 G7:H7">
    <cfRule type="cellIs" dxfId="10" priority="17" operator="equal">
      <formula>"Trading Rules Satisfied ✓"</formula>
    </cfRule>
  </conditionalFormatting>
  <conditionalFormatting sqref="E19:E25">
    <cfRule type="containsText" dxfId="19" priority="18" operator="containsText" text="⚠">
      <formula>NOT(ISERROR(SEARCH(("⚠"),(E19))))</formula>
    </cfRule>
  </conditionalFormatting>
  <conditionalFormatting sqref="E19:E25">
    <cfRule type="containsText" dxfId="10" priority="19" operator="containsText" text="✓">
      <formula>NOT(ISERROR(SEARCH(("✓"),(E19))))</formula>
    </cfRule>
  </conditionalFormatting>
  <conditionalFormatting sqref="E19:E25">
    <cfRule type="containsText" dxfId="1" priority="20" operator="containsText" text="▲">
      <formula>NOT(ISERROR(SEARCH(("▲"),(E19))))</formula>
    </cfRule>
  </conditionalFormatting>
  <conditionalFormatting sqref="D19">
    <cfRule type="cellIs" dxfId="10" priority="21" operator="greaterThanOrEqual">
      <formula>$F$11</formula>
    </cfRule>
  </conditionalFormatting>
  <conditionalFormatting sqref="D19">
    <cfRule type="cellIs" dxfId="2" priority="22" operator="between">
      <formula>0</formula>
      <formula>$F$11</formula>
    </cfRule>
  </conditionalFormatting>
  <conditionalFormatting sqref="D20">
    <cfRule type="cellIs" dxfId="10" priority="23" operator="greaterThanOrEqual">
      <formula>$F$12</formula>
    </cfRule>
  </conditionalFormatting>
  <conditionalFormatting sqref="D20">
    <cfRule type="cellIs" dxfId="2" priority="24" operator="between">
      <formula>0</formula>
      <formula>$F$12</formula>
    </cfRule>
  </conditionalFormatting>
  <conditionalFormatting sqref="D21">
    <cfRule type="cellIs" dxfId="10" priority="25" operator="greaterThanOrEqual">
      <formula>$F$13</formula>
    </cfRule>
  </conditionalFormatting>
  <conditionalFormatting sqref="D21">
    <cfRule type="cellIs" dxfId="2" priority="26" operator="between">
      <formula>0</formula>
      <formula>$F$13</formula>
    </cfRule>
  </conditionalFormatting>
  <conditionalFormatting sqref="D23">
    <cfRule type="cellIs" dxfId="2" priority="27" operator="between">
      <formula>$F$19</formula>
      <formula>0</formula>
    </cfRule>
  </conditionalFormatting>
  <conditionalFormatting sqref="D23">
    <cfRule type="cellIs" dxfId="10" priority="28" operator="greaterThanOrEqual">
      <formula>$F$19</formula>
    </cfRule>
  </conditionalFormatting>
  <conditionalFormatting sqref="D24">
    <cfRule type="cellIs" dxfId="6" priority="29" operator="between">
      <formula>$F$20</formula>
      <formula>0</formula>
    </cfRule>
  </conditionalFormatting>
  <conditionalFormatting sqref="D24">
    <cfRule type="cellIs" dxfId="9" priority="30" operator="greaterThanOrEqual">
      <formula>$F$20</formula>
    </cfRule>
  </conditionalFormatting>
  <conditionalFormatting sqref="D25">
    <cfRule type="cellIs" dxfId="6" priority="31" operator="between">
      <formula>$F$21</formula>
      <formula>0</formula>
    </cfRule>
  </conditionalFormatting>
  <conditionalFormatting sqref="D25">
    <cfRule type="cellIs" dxfId="9" priority="32" operator="greaterThanOrEqual">
      <formula>$F$21</formula>
    </cfRule>
  </conditionalFormatting>
  <conditionalFormatting sqref="D9:E9">
    <cfRule type="containsText" dxfId="6" priority="33" operator="containsText" text="⚠">
      <formula>NOT(ISERROR(SEARCH(("⚠"),(D9))))</formula>
    </cfRule>
  </conditionalFormatting>
  <printOptions/>
  <pageMargins bottom="0.75" footer="0.0" header="0.0" left="0.7" right="0.7" top="0.75"/>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5E5C"/>
    <pageSetUpPr fitToPage="1"/>
  </sheetPr>
  <sheetViews>
    <sheetView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4.43" defaultRowHeight="15.0"/>
  <cols>
    <col customWidth="1" min="1" max="2" width="8.71"/>
    <col customWidth="1" min="3" max="3" width="78.57"/>
    <col customWidth="1" min="4" max="4" width="28.57"/>
    <col customWidth="1" hidden="1" min="5" max="5" width="14.43"/>
    <col customWidth="1" hidden="1" min="6" max="6" width="18.43"/>
    <col customWidth="1" min="7" max="7" width="15.71"/>
    <col customWidth="1" min="8" max="8" width="34.57"/>
    <col customWidth="1" min="9" max="9" width="13.0"/>
    <col customWidth="1" min="10" max="10" width="12.71"/>
    <col customWidth="1" hidden="1" min="11" max="11" width="23.71"/>
    <col customWidth="1" min="12" max="26" width="8.71"/>
  </cols>
  <sheetData>
    <row r="1" ht="25.5" customHeight="1">
      <c r="A1" s="1"/>
      <c r="B1" s="742" t="s">
        <v>314</v>
      </c>
      <c r="C1" s="241"/>
      <c r="D1" s="241"/>
      <c r="E1" s="241"/>
      <c r="F1" s="241"/>
      <c r="G1" s="241"/>
      <c r="H1" s="241"/>
      <c r="I1" s="241"/>
      <c r="J1" s="239"/>
      <c r="K1" s="743">
        <v>9.0</v>
      </c>
      <c r="L1" s="1"/>
      <c r="M1" s="1"/>
      <c r="N1" s="1"/>
      <c r="O1" s="1"/>
      <c r="P1" s="1"/>
      <c r="Q1" s="1"/>
      <c r="R1" s="1"/>
      <c r="S1" s="1"/>
      <c r="T1" s="1"/>
      <c r="U1" s="1"/>
      <c r="V1" s="1"/>
      <c r="W1" s="1"/>
      <c r="X1" s="1"/>
      <c r="Y1" s="1"/>
    </row>
    <row r="2" ht="14.25" customHeight="1">
      <c r="A2" s="1"/>
      <c r="B2" s="744" t="s">
        <v>71</v>
      </c>
      <c r="C2" s="745" t="s">
        <v>286</v>
      </c>
      <c r="D2" s="291"/>
      <c r="E2" s="291"/>
      <c r="F2" s="746"/>
      <c r="G2" s="747" t="s">
        <v>107</v>
      </c>
      <c r="H2" s="746"/>
      <c r="I2" s="748" t="s">
        <v>315</v>
      </c>
      <c r="J2" s="746"/>
      <c r="K2" s="749" t="s">
        <v>316</v>
      </c>
      <c r="L2" s="1"/>
      <c r="M2" s="1"/>
      <c r="N2" s="1"/>
      <c r="O2" s="1"/>
      <c r="P2" s="1"/>
      <c r="Q2" s="1"/>
      <c r="R2" s="1"/>
      <c r="S2" s="1"/>
      <c r="T2" s="1"/>
      <c r="U2" s="1"/>
      <c r="V2" s="1"/>
      <c r="W2" s="1"/>
      <c r="X2" s="1"/>
      <c r="Y2" s="1"/>
    </row>
    <row r="3" ht="14.25" customHeight="1">
      <c r="A3" s="1"/>
      <c r="B3" s="611"/>
      <c r="C3" s="750" t="s">
        <v>286</v>
      </c>
      <c r="D3" s="750" t="s">
        <v>317</v>
      </c>
      <c r="E3" s="750" t="s">
        <v>318</v>
      </c>
      <c r="F3" s="750" t="s">
        <v>319</v>
      </c>
      <c r="G3" s="751" t="s">
        <v>320</v>
      </c>
      <c r="H3" s="751" t="s">
        <v>321</v>
      </c>
      <c r="I3" s="752" t="s">
        <v>322</v>
      </c>
      <c r="J3" s="752" t="s">
        <v>323</v>
      </c>
      <c r="K3" s="753" t="s">
        <v>324</v>
      </c>
      <c r="L3" s="1"/>
      <c r="M3" s="1"/>
      <c r="N3" s="1"/>
      <c r="O3" s="1"/>
      <c r="P3" s="1"/>
      <c r="Q3" s="1"/>
      <c r="R3" s="1"/>
      <c r="S3" s="1"/>
      <c r="T3" s="1"/>
      <c r="U3" s="1"/>
      <c r="V3" s="1"/>
      <c r="W3" s="1"/>
      <c r="X3" s="1"/>
      <c r="Y3" s="1"/>
    </row>
    <row r="4" ht="14.25" customHeight="1">
      <c r="A4" s="1"/>
      <c r="B4" s="754">
        <v>1.0</v>
      </c>
      <c r="C4" s="754" t="s">
        <v>325</v>
      </c>
      <c r="D4" s="754" t="s">
        <v>231</v>
      </c>
      <c r="E4" s="754"/>
      <c r="F4" s="754"/>
      <c r="G4" s="755" t="s">
        <v>234</v>
      </c>
      <c r="H4" s="755" t="s">
        <v>326</v>
      </c>
      <c r="I4" s="755" t="s">
        <v>232</v>
      </c>
      <c r="J4" s="755" t="s">
        <v>232</v>
      </c>
      <c r="K4" s="754" t="s">
        <v>232</v>
      </c>
      <c r="L4" s="1"/>
      <c r="M4" s="1"/>
      <c r="N4" s="1"/>
      <c r="O4" s="1"/>
      <c r="P4" s="1"/>
      <c r="Q4" s="1"/>
      <c r="R4" s="1"/>
      <c r="S4" s="1"/>
      <c r="T4" s="1"/>
      <c r="U4" s="1"/>
      <c r="V4" s="1"/>
      <c r="W4" s="1"/>
      <c r="X4" s="1"/>
      <c r="Y4" s="1"/>
    </row>
    <row r="5" ht="14.25" customHeight="1">
      <c r="A5" s="1"/>
      <c r="B5" s="754">
        <v>2.0</v>
      </c>
      <c r="C5" s="754" t="s">
        <v>327</v>
      </c>
      <c r="D5" s="754" t="s">
        <v>231</v>
      </c>
      <c r="E5" s="754"/>
      <c r="F5" s="754"/>
      <c r="G5" s="755" t="s">
        <v>234</v>
      </c>
      <c r="H5" s="755" t="s">
        <v>326</v>
      </c>
      <c r="I5" s="755" t="s">
        <v>232</v>
      </c>
      <c r="J5" s="755" t="s">
        <v>232</v>
      </c>
      <c r="K5" s="754" t="s">
        <v>232</v>
      </c>
      <c r="L5" s="1"/>
      <c r="M5" s="1"/>
      <c r="N5" s="1"/>
      <c r="O5" s="1"/>
      <c r="P5" s="1"/>
      <c r="Q5" s="1"/>
      <c r="R5" s="1"/>
      <c r="S5" s="1"/>
      <c r="T5" s="1"/>
      <c r="U5" s="1"/>
      <c r="V5" s="1"/>
      <c r="W5" s="1"/>
      <c r="X5" s="1"/>
      <c r="Y5" s="1"/>
    </row>
    <row r="6" ht="14.25" customHeight="1">
      <c r="A6" s="1"/>
      <c r="B6" s="754">
        <v>3.0</v>
      </c>
      <c r="C6" s="754" t="s">
        <v>328</v>
      </c>
      <c r="D6" s="754" t="s">
        <v>231</v>
      </c>
      <c r="E6" s="754"/>
      <c r="F6" s="754"/>
      <c r="G6" s="755" t="s">
        <v>234</v>
      </c>
      <c r="H6" s="755" t="s">
        <v>326</v>
      </c>
      <c r="I6" s="755" t="s">
        <v>232</v>
      </c>
      <c r="J6" s="755" t="s">
        <v>232</v>
      </c>
      <c r="K6" s="754" t="s">
        <v>232</v>
      </c>
      <c r="L6" s="1"/>
      <c r="M6" s="1"/>
      <c r="N6" s="1"/>
      <c r="O6" s="1"/>
      <c r="P6" s="1"/>
      <c r="Q6" s="1"/>
      <c r="R6" s="1"/>
      <c r="S6" s="1"/>
      <c r="T6" s="1"/>
      <c r="U6" s="1"/>
      <c r="V6" s="1"/>
      <c r="W6" s="1"/>
      <c r="X6" s="1"/>
      <c r="Y6" s="1"/>
    </row>
    <row r="7" ht="14.25" customHeight="1">
      <c r="A7" s="1"/>
      <c r="B7" s="754">
        <v>4.0</v>
      </c>
      <c r="C7" s="754" t="s">
        <v>329</v>
      </c>
      <c r="D7" s="754" t="s">
        <v>231</v>
      </c>
      <c r="E7" s="754"/>
      <c r="F7" s="754"/>
      <c r="G7" s="755" t="s">
        <v>234</v>
      </c>
      <c r="H7" s="755" t="s">
        <v>326</v>
      </c>
      <c r="I7" s="755" t="s">
        <v>232</v>
      </c>
      <c r="J7" s="755" t="s">
        <v>232</v>
      </c>
      <c r="K7" s="754" t="s">
        <v>232</v>
      </c>
      <c r="L7" s="1"/>
      <c r="M7" s="1"/>
      <c r="N7" s="1"/>
      <c r="O7" s="1"/>
      <c r="P7" s="1"/>
      <c r="Q7" s="1"/>
      <c r="R7" s="1"/>
      <c r="S7" s="1"/>
      <c r="T7" s="1"/>
      <c r="U7" s="1"/>
      <c r="V7" s="1"/>
      <c r="W7" s="1"/>
      <c r="X7" s="1"/>
      <c r="Y7" s="1"/>
    </row>
    <row r="8" ht="14.25" customHeight="1">
      <c r="A8" s="1"/>
      <c r="B8" s="754">
        <v>5.0</v>
      </c>
      <c r="C8" s="754" t="s">
        <v>330</v>
      </c>
      <c r="D8" s="754" t="s">
        <v>231</v>
      </c>
      <c r="E8" s="754"/>
      <c r="F8" s="754"/>
      <c r="G8" s="755" t="s">
        <v>232</v>
      </c>
      <c r="H8" s="755" t="s">
        <v>331</v>
      </c>
      <c r="I8" s="755" t="s">
        <v>232</v>
      </c>
      <c r="J8" s="755" t="s">
        <v>232</v>
      </c>
      <c r="K8" s="754" t="s">
        <v>232</v>
      </c>
      <c r="L8" s="1"/>
      <c r="M8" s="1"/>
      <c r="N8" s="1"/>
      <c r="O8" s="1"/>
      <c r="P8" s="1"/>
      <c r="Q8" s="1"/>
      <c r="R8" s="1"/>
      <c r="S8" s="1"/>
      <c r="T8" s="1"/>
      <c r="U8" s="1"/>
      <c r="V8" s="1"/>
      <c r="W8" s="1"/>
      <c r="X8" s="1"/>
      <c r="Y8" s="1"/>
    </row>
    <row r="9" ht="14.25" customHeight="1">
      <c r="A9" s="1"/>
      <c r="B9" s="754">
        <f t="shared" ref="B9:B102" si="1">B8+1</f>
        <v>6</v>
      </c>
      <c r="C9" s="754" t="s">
        <v>332</v>
      </c>
      <c r="D9" s="754" t="s">
        <v>231</v>
      </c>
      <c r="E9" s="754"/>
      <c r="F9" s="754"/>
      <c r="G9" s="755" t="s">
        <v>232</v>
      </c>
      <c r="H9" s="755" t="s">
        <v>331</v>
      </c>
      <c r="I9" s="755" t="s">
        <v>232</v>
      </c>
      <c r="J9" s="755" t="s">
        <v>232</v>
      </c>
      <c r="K9" s="754" t="s">
        <v>232</v>
      </c>
      <c r="L9" s="1"/>
      <c r="M9" s="1"/>
      <c r="N9" s="1"/>
      <c r="O9" s="1"/>
      <c r="P9" s="1"/>
      <c r="Q9" s="1"/>
      <c r="R9" s="1"/>
      <c r="S9" s="1"/>
      <c r="T9" s="1"/>
      <c r="U9" s="1"/>
      <c r="V9" s="1"/>
      <c r="W9" s="1"/>
      <c r="X9" s="1"/>
      <c r="Y9" s="1"/>
    </row>
    <row r="10" ht="14.25" customHeight="1">
      <c r="A10" s="1"/>
      <c r="B10" s="754">
        <f t="shared" si="1"/>
        <v>7</v>
      </c>
      <c r="C10" s="754" t="s">
        <v>333</v>
      </c>
      <c r="D10" s="754" t="s">
        <v>231</v>
      </c>
      <c r="E10" s="754"/>
      <c r="F10" s="754"/>
      <c r="G10" s="755" t="s">
        <v>232</v>
      </c>
      <c r="H10" s="755" t="s">
        <v>331</v>
      </c>
      <c r="I10" s="755" t="s">
        <v>232</v>
      </c>
      <c r="J10" s="755" t="s">
        <v>232</v>
      </c>
      <c r="K10" s="754" t="s">
        <v>232</v>
      </c>
      <c r="L10" s="1"/>
      <c r="M10" s="1"/>
      <c r="N10" s="1"/>
      <c r="O10" s="1"/>
      <c r="P10" s="1"/>
      <c r="Q10" s="1"/>
      <c r="R10" s="1"/>
      <c r="S10" s="1"/>
      <c r="T10" s="1"/>
      <c r="U10" s="1"/>
      <c r="V10" s="1"/>
      <c r="W10" s="1"/>
      <c r="X10" s="1"/>
      <c r="Y10" s="1"/>
    </row>
    <row r="11" ht="14.25" customHeight="1">
      <c r="A11" s="1"/>
      <c r="B11" s="754">
        <f t="shared" si="1"/>
        <v>8</v>
      </c>
      <c r="C11" s="754" t="s">
        <v>334</v>
      </c>
      <c r="D11" s="754" t="s">
        <v>231</v>
      </c>
      <c r="E11" s="754"/>
      <c r="F11" s="754"/>
      <c r="G11" s="755" t="s">
        <v>232</v>
      </c>
      <c r="H11" s="755" t="s">
        <v>331</v>
      </c>
      <c r="I11" s="755" t="s">
        <v>232</v>
      </c>
      <c r="J11" s="755" t="s">
        <v>232</v>
      </c>
      <c r="K11" s="754" t="s">
        <v>232</v>
      </c>
      <c r="L11" s="1"/>
      <c r="M11" s="1"/>
      <c r="N11" s="1"/>
      <c r="O11" s="1"/>
      <c r="P11" s="1"/>
      <c r="Q11" s="1"/>
      <c r="R11" s="1"/>
      <c r="S11" s="1"/>
      <c r="T11" s="1"/>
      <c r="U11" s="1"/>
      <c r="V11" s="1"/>
      <c r="W11" s="1"/>
      <c r="X11" s="1"/>
      <c r="Y11" s="1"/>
    </row>
    <row r="12" ht="14.25" customHeight="1">
      <c r="A12" s="1"/>
      <c r="B12" s="754">
        <f t="shared" si="1"/>
        <v>9</v>
      </c>
      <c r="C12" s="754" t="s">
        <v>335</v>
      </c>
      <c r="D12" s="754" t="s">
        <v>231</v>
      </c>
      <c r="E12" s="754"/>
      <c r="F12" s="754"/>
      <c r="G12" s="755" t="s">
        <v>232</v>
      </c>
      <c r="H12" s="755" t="s">
        <v>331</v>
      </c>
      <c r="I12" s="755" t="s">
        <v>232</v>
      </c>
      <c r="J12" s="755" t="s">
        <v>232</v>
      </c>
      <c r="K12" s="754" t="s">
        <v>232</v>
      </c>
      <c r="L12" s="1"/>
      <c r="M12" s="1"/>
      <c r="N12" s="1"/>
      <c r="O12" s="1"/>
      <c r="P12" s="1"/>
      <c r="Q12" s="1"/>
      <c r="R12" s="1"/>
      <c r="S12" s="1"/>
      <c r="T12" s="1"/>
      <c r="U12" s="1"/>
      <c r="V12" s="1"/>
      <c r="W12" s="1"/>
      <c r="X12" s="1"/>
      <c r="Y12" s="1"/>
    </row>
    <row r="13" ht="14.25" customHeight="1">
      <c r="A13" s="1"/>
      <c r="B13" s="754">
        <f t="shared" si="1"/>
        <v>10</v>
      </c>
      <c r="C13" s="754" t="s">
        <v>336</v>
      </c>
      <c r="D13" s="754" t="s">
        <v>231</v>
      </c>
      <c r="E13" s="754"/>
      <c r="F13" s="754"/>
      <c r="G13" s="755" t="s">
        <v>232</v>
      </c>
      <c r="H13" s="755" t="s">
        <v>331</v>
      </c>
      <c r="I13" s="755" t="s">
        <v>232</v>
      </c>
      <c r="J13" s="755" t="s">
        <v>232</v>
      </c>
      <c r="K13" s="754" t="s">
        <v>232</v>
      </c>
      <c r="L13" s="1"/>
      <c r="M13" s="1"/>
      <c r="N13" s="1"/>
      <c r="O13" s="1"/>
      <c r="P13" s="1"/>
      <c r="Q13" s="1"/>
      <c r="R13" s="1"/>
      <c r="S13" s="1"/>
      <c r="T13" s="1"/>
      <c r="U13" s="1"/>
      <c r="V13" s="1"/>
      <c r="W13" s="1"/>
      <c r="X13" s="1"/>
      <c r="Y13" s="1"/>
    </row>
    <row r="14" ht="14.25" customHeight="1">
      <c r="A14" s="1"/>
      <c r="B14" s="754">
        <f t="shared" si="1"/>
        <v>11</v>
      </c>
      <c r="C14" s="754" t="s">
        <v>337</v>
      </c>
      <c r="D14" s="754" t="s">
        <v>235</v>
      </c>
      <c r="E14" s="754"/>
      <c r="F14" s="754"/>
      <c r="G14" s="755" t="s">
        <v>232</v>
      </c>
      <c r="H14" s="755" t="s">
        <v>331</v>
      </c>
      <c r="I14" s="755" t="s">
        <v>232</v>
      </c>
      <c r="J14" s="755" t="s">
        <v>232</v>
      </c>
      <c r="K14" s="754" t="s">
        <v>232</v>
      </c>
      <c r="L14" s="1"/>
      <c r="M14" s="1"/>
      <c r="N14" s="1"/>
      <c r="O14" s="1"/>
      <c r="P14" s="1"/>
      <c r="Q14" s="1"/>
      <c r="R14" s="1"/>
      <c r="S14" s="1"/>
      <c r="T14" s="1"/>
      <c r="U14" s="1"/>
      <c r="V14" s="1"/>
      <c r="W14" s="1"/>
      <c r="X14" s="1"/>
      <c r="Y14" s="1"/>
    </row>
    <row r="15" ht="14.25" customHeight="1">
      <c r="A15" s="1"/>
      <c r="B15" s="754">
        <f t="shared" si="1"/>
        <v>12</v>
      </c>
      <c r="C15" s="754" t="s">
        <v>338</v>
      </c>
      <c r="D15" s="754" t="s">
        <v>235</v>
      </c>
      <c r="E15" s="754"/>
      <c r="F15" s="754"/>
      <c r="G15" s="755" t="s">
        <v>232</v>
      </c>
      <c r="H15" s="755" t="s">
        <v>331</v>
      </c>
      <c r="I15" s="755" t="s">
        <v>232</v>
      </c>
      <c r="J15" s="755" t="s">
        <v>232</v>
      </c>
      <c r="K15" s="754" t="s">
        <v>232</v>
      </c>
      <c r="L15" s="1"/>
      <c r="M15" s="1"/>
      <c r="N15" s="1"/>
      <c r="O15" s="1"/>
      <c r="P15" s="1"/>
      <c r="Q15" s="1"/>
      <c r="R15" s="1"/>
      <c r="S15" s="1"/>
      <c r="T15" s="1"/>
      <c r="U15" s="1"/>
      <c r="V15" s="1"/>
      <c r="W15" s="1"/>
      <c r="X15" s="1"/>
      <c r="Y15" s="1"/>
    </row>
    <row r="16" ht="14.25" customHeight="1">
      <c r="A16" s="1"/>
      <c r="B16" s="754">
        <f t="shared" si="1"/>
        <v>13</v>
      </c>
      <c r="C16" s="754" t="s">
        <v>339</v>
      </c>
      <c r="D16" s="754" t="s">
        <v>235</v>
      </c>
      <c r="E16" s="754"/>
      <c r="F16" s="754"/>
      <c r="G16" s="755" t="s">
        <v>234</v>
      </c>
      <c r="H16" s="755" t="s">
        <v>326</v>
      </c>
      <c r="I16" s="755" t="s">
        <v>232</v>
      </c>
      <c r="J16" s="755" t="s">
        <v>232</v>
      </c>
      <c r="K16" s="754" t="s">
        <v>232</v>
      </c>
      <c r="L16" s="1"/>
      <c r="M16" s="1"/>
      <c r="N16" s="1"/>
      <c r="O16" s="1"/>
      <c r="P16" s="1"/>
      <c r="Q16" s="1"/>
      <c r="R16" s="1"/>
      <c r="S16" s="1"/>
      <c r="T16" s="1"/>
      <c r="U16" s="1"/>
      <c r="V16" s="1"/>
      <c r="W16" s="1"/>
      <c r="X16" s="1"/>
      <c r="Y16" s="1"/>
    </row>
    <row r="17" ht="14.25" customHeight="1">
      <c r="A17" s="1"/>
      <c r="B17" s="754">
        <f t="shared" si="1"/>
        <v>14</v>
      </c>
      <c r="C17" s="754" t="s">
        <v>340</v>
      </c>
      <c r="D17" s="754" t="s">
        <v>235</v>
      </c>
      <c r="E17" s="754"/>
      <c r="F17" s="754"/>
      <c r="G17" s="755" t="s">
        <v>234</v>
      </c>
      <c r="H17" s="755" t="s">
        <v>326</v>
      </c>
      <c r="I17" s="755" t="s">
        <v>232</v>
      </c>
      <c r="J17" s="755" t="s">
        <v>232</v>
      </c>
      <c r="K17" s="754" t="s">
        <v>232</v>
      </c>
      <c r="L17" s="1"/>
      <c r="M17" s="1"/>
      <c r="N17" s="1"/>
      <c r="O17" s="1"/>
      <c r="P17" s="1"/>
      <c r="Q17" s="1"/>
      <c r="R17" s="1"/>
      <c r="S17" s="1"/>
      <c r="T17" s="1"/>
      <c r="U17" s="1"/>
      <c r="V17" s="1"/>
      <c r="W17" s="1"/>
      <c r="X17" s="1"/>
      <c r="Y17" s="1"/>
    </row>
    <row r="18" ht="14.25" customHeight="1">
      <c r="A18" s="1"/>
      <c r="B18" s="754">
        <f t="shared" si="1"/>
        <v>15</v>
      </c>
      <c r="C18" s="754" t="s">
        <v>341</v>
      </c>
      <c r="D18" s="754" t="s">
        <v>235</v>
      </c>
      <c r="E18" s="754"/>
      <c r="F18" s="754"/>
      <c r="G18" s="755" t="s">
        <v>234</v>
      </c>
      <c r="H18" s="755" t="s">
        <v>326</v>
      </c>
      <c r="I18" s="755" t="s">
        <v>232</v>
      </c>
      <c r="J18" s="755" t="s">
        <v>232</v>
      </c>
      <c r="K18" s="754" t="s">
        <v>232</v>
      </c>
      <c r="L18" s="1"/>
      <c r="M18" s="1"/>
      <c r="N18" s="1"/>
      <c r="O18" s="1"/>
      <c r="P18" s="1"/>
      <c r="Q18" s="1"/>
      <c r="R18" s="1"/>
      <c r="S18" s="1"/>
      <c r="T18" s="1"/>
      <c r="U18" s="1"/>
      <c r="V18" s="1"/>
      <c r="W18" s="1"/>
      <c r="X18" s="1"/>
      <c r="Y18" s="1"/>
    </row>
    <row r="19" ht="14.25" customHeight="1">
      <c r="A19" s="1"/>
      <c r="B19" s="754">
        <f t="shared" si="1"/>
        <v>16</v>
      </c>
      <c r="C19" s="754" t="s">
        <v>342</v>
      </c>
      <c r="D19" s="754" t="s">
        <v>118</v>
      </c>
      <c r="E19" s="754"/>
      <c r="F19" s="754"/>
      <c r="G19" s="755" t="s">
        <v>234</v>
      </c>
      <c r="H19" s="755" t="s">
        <v>326</v>
      </c>
      <c r="I19" s="755" t="s">
        <v>232</v>
      </c>
      <c r="J19" s="755" t="s">
        <v>232</v>
      </c>
      <c r="K19" s="754" t="s">
        <v>232</v>
      </c>
      <c r="L19" s="1"/>
      <c r="M19" s="1"/>
      <c r="N19" s="1"/>
      <c r="O19" s="1"/>
      <c r="P19" s="1"/>
      <c r="Q19" s="1"/>
      <c r="R19" s="1"/>
      <c r="S19" s="1"/>
      <c r="T19" s="1"/>
      <c r="U19" s="1"/>
      <c r="V19" s="1"/>
      <c r="W19" s="1"/>
      <c r="X19" s="1"/>
      <c r="Y19" s="1"/>
    </row>
    <row r="20" ht="14.25" customHeight="1">
      <c r="A20" s="1"/>
      <c r="B20" s="754">
        <f t="shared" si="1"/>
        <v>17</v>
      </c>
      <c r="C20" s="754" t="s">
        <v>119</v>
      </c>
      <c r="D20" s="754" t="s">
        <v>118</v>
      </c>
      <c r="E20" s="754"/>
      <c r="F20" s="754"/>
      <c r="G20" s="755" t="s">
        <v>234</v>
      </c>
      <c r="H20" s="755" t="s">
        <v>326</v>
      </c>
      <c r="I20" s="755" t="s">
        <v>232</v>
      </c>
      <c r="J20" s="755" t="s">
        <v>232</v>
      </c>
      <c r="K20" s="754" t="s">
        <v>232</v>
      </c>
      <c r="L20" s="1"/>
      <c r="M20" s="1"/>
      <c r="N20" s="1"/>
      <c r="O20" s="1"/>
      <c r="P20" s="1"/>
      <c r="Q20" s="1"/>
      <c r="R20" s="1"/>
      <c r="S20" s="1"/>
      <c r="T20" s="1"/>
      <c r="U20" s="1"/>
      <c r="V20" s="1"/>
      <c r="W20" s="1"/>
      <c r="X20" s="1"/>
      <c r="Y20" s="1"/>
    </row>
    <row r="21" ht="14.25" customHeight="1">
      <c r="A21" s="1"/>
      <c r="B21" s="754">
        <f t="shared" si="1"/>
        <v>18</v>
      </c>
      <c r="C21" s="754" t="s">
        <v>343</v>
      </c>
      <c r="D21" s="754" t="s">
        <v>118</v>
      </c>
      <c r="E21" s="754"/>
      <c r="F21" s="754"/>
      <c r="G21" s="755" t="s">
        <v>234</v>
      </c>
      <c r="H21" s="755" t="s">
        <v>326</v>
      </c>
      <c r="I21" s="755" t="s">
        <v>232</v>
      </c>
      <c r="J21" s="755" t="s">
        <v>232</v>
      </c>
      <c r="K21" s="754" t="s">
        <v>232</v>
      </c>
      <c r="L21" s="1"/>
      <c r="M21" s="1"/>
      <c r="N21" s="1"/>
      <c r="O21" s="1"/>
      <c r="P21" s="1"/>
      <c r="Q21" s="1"/>
      <c r="R21" s="1"/>
      <c r="S21" s="1"/>
      <c r="T21" s="1"/>
      <c r="U21" s="1"/>
      <c r="V21" s="1"/>
      <c r="W21" s="1"/>
      <c r="X21" s="1"/>
      <c r="Y21" s="1"/>
    </row>
    <row r="22" ht="14.25" customHeight="1">
      <c r="A22" s="1"/>
      <c r="B22" s="754">
        <f t="shared" si="1"/>
        <v>19</v>
      </c>
      <c r="C22" s="754" t="s">
        <v>344</v>
      </c>
      <c r="D22" s="754" t="s">
        <v>118</v>
      </c>
      <c r="E22" s="754"/>
      <c r="F22" s="754"/>
      <c r="G22" s="755" t="s">
        <v>234</v>
      </c>
      <c r="H22" s="755" t="s">
        <v>326</v>
      </c>
      <c r="I22" s="755" t="s">
        <v>232</v>
      </c>
      <c r="J22" s="755" t="s">
        <v>232</v>
      </c>
      <c r="K22" s="754" t="s">
        <v>232</v>
      </c>
      <c r="L22" s="1"/>
      <c r="M22" s="1"/>
      <c r="N22" s="1"/>
      <c r="O22" s="1"/>
      <c r="P22" s="1"/>
      <c r="Q22" s="1"/>
      <c r="R22" s="1"/>
      <c r="S22" s="1"/>
      <c r="T22" s="1"/>
      <c r="U22" s="1"/>
      <c r="V22" s="1"/>
      <c r="W22" s="1"/>
      <c r="X22" s="1"/>
      <c r="Y22" s="1"/>
    </row>
    <row r="23" ht="14.25" customHeight="1">
      <c r="A23" s="1"/>
      <c r="B23" s="754">
        <f t="shared" si="1"/>
        <v>20</v>
      </c>
      <c r="C23" s="754" t="s">
        <v>345</v>
      </c>
      <c r="D23" s="754" t="s">
        <v>118</v>
      </c>
      <c r="E23" s="754"/>
      <c r="F23" s="754"/>
      <c r="G23" s="755" t="s">
        <v>234</v>
      </c>
      <c r="H23" s="755" t="s">
        <v>326</v>
      </c>
      <c r="I23" s="755" t="s">
        <v>234</v>
      </c>
      <c r="J23" s="755" t="s">
        <v>232</v>
      </c>
      <c r="K23" s="754" t="s">
        <v>232</v>
      </c>
      <c r="L23" s="1"/>
      <c r="M23" s="1"/>
      <c r="N23" s="1"/>
      <c r="O23" s="1"/>
      <c r="P23" s="1"/>
      <c r="Q23" s="1"/>
      <c r="R23" s="1"/>
      <c r="S23" s="1"/>
      <c r="T23" s="1"/>
      <c r="U23" s="1"/>
      <c r="V23" s="1"/>
      <c r="W23" s="1"/>
      <c r="X23" s="1"/>
      <c r="Y23" s="1"/>
    </row>
    <row r="24" ht="14.25" customHeight="1">
      <c r="A24" s="1"/>
      <c r="B24" s="754">
        <f t="shared" si="1"/>
        <v>21</v>
      </c>
      <c r="C24" s="754" t="s">
        <v>346</v>
      </c>
      <c r="D24" s="754" t="s">
        <v>118</v>
      </c>
      <c r="E24" s="754"/>
      <c r="F24" s="754"/>
      <c r="G24" s="755" t="s">
        <v>234</v>
      </c>
      <c r="H24" s="755" t="s">
        <v>326</v>
      </c>
      <c r="I24" s="755" t="s">
        <v>232</v>
      </c>
      <c r="J24" s="755" t="s">
        <v>232</v>
      </c>
      <c r="K24" s="754" t="s">
        <v>232</v>
      </c>
      <c r="L24" s="1"/>
      <c r="M24" s="1"/>
      <c r="N24" s="1"/>
      <c r="O24" s="1"/>
      <c r="P24" s="1"/>
      <c r="Q24" s="1"/>
      <c r="R24" s="1"/>
      <c r="S24" s="1"/>
      <c r="T24" s="1"/>
      <c r="U24" s="1"/>
      <c r="V24" s="1"/>
      <c r="W24" s="1"/>
      <c r="X24" s="1"/>
      <c r="Y24" s="1"/>
    </row>
    <row r="25" ht="14.25" customHeight="1">
      <c r="A25" s="1"/>
      <c r="B25" s="754">
        <f t="shared" si="1"/>
        <v>22</v>
      </c>
      <c r="C25" s="754" t="s">
        <v>347</v>
      </c>
      <c r="D25" s="754" t="s">
        <v>118</v>
      </c>
      <c r="E25" s="754"/>
      <c r="F25" s="754"/>
      <c r="G25" s="755" t="s">
        <v>232</v>
      </c>
      <c r="H25" s="755" t="s">
        <v>331</v>
      </c>
      <c r="I25" s="755" t="s">
        <v>232</v>
      </c>
      <c r="J25" s="755" t="s">
        <v>232</v>
      </c>
      <c r="K25" s="754" t="s">
        <v>232</v>
      </c>
      <c r="L25" s="1"/>
      <c r="M25" s="1"/>
      <c r="N25" s="1"/>
      <c r="O25" s="1"/>
      <c r="P25" s="1"/>
      <c r="Q25" s="1"/>
      <c r="R25" s="1"/>
      <c r="S25" s="1"/>
      <c r="T25" s="1"/>
      <c r="U25" s="1"/>
      <c r="V25" s="1"/>
      <c r="W25" s="1"/>
      <c r="X25" s="1"/>
      <c r="Y25" s="1"/>
    </row>
    <row r="26" ht="14.25" customHeight="1">
      <c r="A26" s="1"/>
      <c r="B26" s="754">
        <f t="shared" si="1"/>
        <v>23</v>
      </c>
      <c r="C26" s="754" t="s">
        <v>348</v>
      </c>
      <c r="D26" s="754" t="s">
        <v>118</v>
      </c>
      <c r="E26" s="754"/>
      <c r="F26" s="754"/>
      <c r="G26" s="755" t="s">
        <v>232</v>
      </c>
      <c r="H26" s="755" t="s">
        <v>331</v>
      </c>
      <c r="I26" s="755" t="s">
        <v>232</v>
      </c>
      <c r="J26" s="755" t="s">
        <v>232</v>
      </c>
      <c r="K26" s="754" t="s">
        <v>232</v>
      </c>
      <c r="L26" s="1"/>
      <c r="M26" s="1"/>
      <c r="N26" s="1"/>
      <c r="O26" s="1"/>
      <c r="P26" s="1"/>
      <c r="Q26" s="1"/>
      <c r="R26" s="1"/>
      <c r="S26" s="1"/>
      <c r="T26" s="1"/>
      <c r="U26" s="1"/>
      <c r="V26" s="1"/>
      <c r="W26" s="1"/>
      <c r="X26" s="1"/>
      <c r="Y26" s="1"/>
    </row>
    <row r="27" ht="28.5" customHeight="1">
      <c r="A27" s="1"/>
      <c r="B27" s="754">
        <f t="shared" si="1"/>
        <v>24</v>
      </c>
      <c r="C27" s="754" t="s">
        <v>349</v>
      </c>
      <c r="D27" s="754" t="s">
        <v>118</v>
      </c>
      <c r="E27" s="754"/>
      <c r="F27" s="754"/>
      <c r="G27" s="755" t="s">
        <v>234</v>
      </c>
      <c r="H27" s="755" t="s">
        <v>326</v>
      </c>
      <c r="I27" s="755" t="s">
        <v>234</v>
      </c>
      <c r="J27" s="755" t="s">
        <v>232</v>
      </c>
      <c r="K27" s="754"/>
      <c r="L27" s="1"/>
      <c r="M27" s="1"/>
      <c r="N27" s="1"/>
      <c r="O27" s="1"/>
      <c r="P27" s="1"/>
      <c r="Q27" s="1"/>
      <c r="R27" s="1"/>
      <c r="S27" s="1"/>
      <c r="T27" s="1"/>
      <c r="U27" s="1"/>
      <c r="V27" s="1"/>
      <c r="W27" s="1"/>
      <c r="X27" s="1"/>
      <c r="Y27" s="1"/>
    </row>
    <row r="28" ht="28.5" customHeight="1">
      <c r="A28" s="1"/>
      <c r="B28" s="754">
        <f t="shared" si="1"/>
        <v>25</v>
      </c>
      <c r="C28" s="754" t="s">
        <v>350</v>
      </c>
      <c r="D28" s="754" t="s">
        <v>238</v>
      </c>
      <c r="E28" s="754"/>
      <c r="F28" s="754"/>
      <c r="G28" s="755" t="s">
        <v>232</v>
      </c>
      <c r="H28" s="755" t="s">
        <v>331</v>
      </c>
      <c r="I28" s="755" t="s">
        <v>232</v>
      </c>
      <c r="J28" s="755" t="s">
        <v>351</v>
      </c>
      <c r="K28" s="754" t="s">
        <v>232</v>
      </c>
      <c r="L28" s="1"/>
      <c r="M28" s="1"/>
      <c r="N28" s="1"/>
      <c r="O28" s="1"/>
      <c r="P28" s="1"/>
      <c r="Q28" s="1"/>
      <c r="R28" s="1"/>
      <c r="S28" s="1"/>
      <c r="T28" s="1"/>
      <c r="U28" s="1"/>
      <c r="V28" s="1"/>
      <c r="W28" s="1"/>
      <c r="X28" s="1"/>
      <c r="Y28" s="1"/>
    </row>
    <row r="29" ht="14.25" customHeight="1">
      <c r="A29" s="1"/>
      <c r="B29" s="754">
        <f t="shared" si="1"/>
        <v>26</v>
      </c>
      <c r="C29" s="754" t="s">
        <v>352</v>
      </c>
      <c r="D29" s="754" t="s">
        <v>238</v>
      </c>
      <c r="E29" s="754"/>
      <c r="F29" s="754"/>
      <c r="G29" s="755" t="s">
        <v>234</v>
      </c>
      <c r="H29" s="755" t="s">
        <v>326</v>
      </c>
      <c r="I29" s="755" t="s">
        <v>232</v>
      </c>
      <c r="J29" s="755" t="s">
        <v>234</v>
      </c>
      <c r="K29" s="754" t="s">
        <v>232</v>
      </c>
      <c r="L29" s="1"/>
      <c r="M29" s="1"/>
      <c r="N29" s="1"/>
      <c r="O29" s="1"/>
      <c r="P29" s="1"/>
      <c r="Q29" s="1"/>
      <c r="R29" s="1"/>
      <c r="S29" s="1"/>
      <c r="T29" s="1"/>
      <c r="U29" s="1"/>
      <c r="V29" s="1"/>
      <c r="W29" s="1"/>
      <c r="X29" s="1"/>
      <c r="Y29" s="1"/>
    </row>
    <row r="30" ht="14.25" customHeight="1">
      <c r="A30" s="1"/>
      <c r="B30" s="754">
        <f t="shared" si="1"/>
        <v>27</v>
      </c>
      <c r="C30" s="754" t="s">
        <v>353</v>
      </c>
      <c r="D30" s="754" t="s">
        <v>238</v>
      </c>
      <c r="E30" s="754"/>
      <c r="F30" s="754"/>
      <c r="G30" s="755" t="s">
        <v>234</v>
      </c>
      <c r="H30" s="755" t="s">
        <v>326</v>
      </c>
      <c r="I30" s="755" t="s">
        <v>234</v>
      </c>
      <c r="J30" s="755" t="s">
        <v>234</v>
      </c>
      <c r="K30" s="754" t="s">
        <v>232</v>
      </c>
      <c r="L30" s="1"/>
      <c r="M30" s="1"/>
      <c r="N30" s="1"/>
      <c r="O30" s="1"/>
      <c r="P30" s="1"/>
      <c r="Q30" s="1"/>
      <c r="R30" s="1"/>
      <c r="S30" s="1"/>
      <c r="T30" s="1"/>
      <c r="U30" s="1"/>
      <c r="V30" s="1"/>
      <c r="W30" s="1"/>
      <c r="X30" s="1"/>
      <c r="Y30" s="1"/>
    </row>
    <row r="31" ht="14.25" customHeight="1">
      <c r="A31" s="1"/>
      <c r="B31" s="754">
        <f t="shared" si="1"/>
        <v>28</v>
      </c>
      <c r="C31" s="754" t="s">
        <v>354</v>
      </c>
      <c r="D31" s="754" t="s">
        <v>239</v>
      </c>
      <c r="E31" s="754"/>
      <c r="F31" s="754"/>
      <c r="G31" s="755" t="s">
        <v>232</v>
      </c>
      <c r="H31" s="755" t="s">
        <v>331</v>
      </c>
      <c r="I31" s="755" t="s">
        <v>232</v>
      </c>
      <c r="J31" s="755" t="s">
        <v>234</v>
      </c>
      <c r="K31" s="754" t="s">
        <v>232</v>
      </c>
      <c r="L31" s="1"/>
      <c r="M31" s="1"/>
      <c r="N31" s="1"/>
      <c r="O31" s="1"/>
      <c r="P31" s="1"/>
      <c r="Q31" s="1"/>
      <c r="R31" s="1"/>
      <c r="S31" s="1"/>
      <c r="T31" s="1"/>
      <c r="U31" s="1"/>
      <c r="V31" s="1"/>
      <c r="W31" s="1"/>
      <c r="X31" s="1"/>
      <c r="Y31" s="1"/>
    </row>
    <row r="32" ht="14.25" customHeight="1">
      <c r="A32" s="1"/>
      <c r="B32" s="754">
        <f t="shared" si="1"/>
        <v>29</v>
      </c>
      <c r="C32" s="754" t="s">
        <v>355</v>
      </c>
      <c r="D32" s="754" t="s">
        <v>239</v>
      </c>
      <c r="E32" s="754"/>
      <c r="F32" s="754"/>
      <c r="G32" s="755" t="s">
        <v>234</v>
      </c>
      <c r="H32" s="755" t="s">
        <v>326</v>
      </c>
      <c r="I32" s="755" t="s">
        <v>234</v>
      </c>
      <c r="J32" s="755" t="s">
        <v>234</v>
      </c>
      <c r="K32" s="754" t="s">
        <v>232</v>
      </c>
      <c r="L32" s="1"/>
      <c r="M32" s="1"/>
      <c r="N32" s="1"/>
      <c r="O32" s="1"/>
      <c r="P32" s="1"/>
      <c r="Q32" s="1"/>
      <c r="R32" s="1"/>
      <c r="S32" s="1"/>
      <c r="T32" s="1"/>
      <c r="U32" s="1"/>
      <c r="V32" s="1"/>
      <c r="W32" s="1"/>
      <c r="X32" s="1"/>
      <c r="Y32" s="1"/>
    </row>
    <row r="33" ht="29.25" customHeight="1">
      <c r="A33" s="1"/>
      <c r="B33" s="754">
        <f t="shared" si="1"/>
        <v>30</v>
      </c>
      <c r="C33" s="754" t="s">
        <v>356</v>
      </c>
      <c r="D33" s="754" t="s">
        <v>239</v>
      </c>
      <c r="E33" s="754"/>
      <c r="F33" s="754"/>
      <c r="G33" s="755" t="s">
        <v>232</v>
      </c>
      <c r="H33" s="755" t="s">
        <v>331</v>
      </c>
      <c r="I33" s="755" t="s">
        <v>232</v>
      </c>
      <c r="J33" s="755" t="s">
        <v>234</v>
      </c>
      <c r="K33" s="754"/>
      <c r="L33" s="1"/>
      <c r="M33" s="1"/>
      <c r="N33" s="1"/>
      <c r="O33" s="1"/>
      <c r="P33" s="1"/>
      <c r="Q33" s="1"/>
      <c r="R33" s="1"/>
      <c r="S33" s="1"/>
      <c r="T33" s="1"/>
      <c r="U33" s="1"/>
      <c r="V33" s="1"/>
      <c r="W33" s="1"/>
      <c r="X33" s="1"/>
      <c r="Y33" s="1"/>
    </row>
    <row r="34" ht="14.25" customHeight="1">
      <c r="A34" s="1"/>
      <c r="B34" s="754">
        <f t="shared" si="1"/>
        <v>31</v>
      </c>
      <c r="C34" s="754" t="s">
        <v>357</v>
      </c>
      <c r="D34" s="754" t="s">
        <v>114</v>
      </c>
      <c r="E34" s="754"/>
      <c r="F34" s="754"/>
      <c r="G34" s="755" t="s">
        <v>232</v>
      </c>
      <c r="H34" s="755" t="s">
        <v>331</v>
      </c>
      <c r="I34" s="755" t="s">
        <v>232</v>
      </c>
      <c r="J34" s="755" t="s">
        <v>232</v>
      </c>
      <c r="K34" s="754" t="s">
        <v>232</v>
      </c>
      <c r="L34" s="1"/>
      <c r="M34" s="1"/>
      <c r="N34" s="1"/>
      <c r="O34" s="1"/>
      <c r="P34" s="1"/>
      <c r="Q34" s="1"/>
      <c r="R34" s="1"/>
      <c r="S34" s="1"/>
      <c r="T34" s="1"/>
      <c r="U34" s="1"/>
      <c r="V34" s="1"/>
      <c r="W34" s="1"/>
      <c r="X34" s="1"/>
      <c r="Y34" s="1"/>
    </row>
    <row r="35" ht="27.75" customHeight="1">
      <c r="A35" s="1"/>
      <c r="B35" s="754">
        <f t="shared" si="1"/>
        <v>32</v>
      </c>
      <c r="C35" s="754" t="s">
        <v>358</v>
      </c>
      <c r="D35" s="754" t="s">
        <v>114</v>
      </c>
      <c r="E35" s="754"/>
      <c r="F35" s="754"/>
      <c r="G35" s="755" t="s">
        <v>359</v>
      </c>
      <c r="H35" s="755" t="s">
        <v>360</v>
      </c>
      <c r="I35" s="755" t="s">
        <v>232</v>
      </c>
      <c r="J35" s="755" t="s">
        <v>232</v>
      </c>
      <c r="K35" s="754" t="s">
        <v>232</v>
      </c>
      <c r="L35" s="1"/>
      <c r="M35" s="1"/>
      <c r="N35" s="1"/>
      <c r="O35" s="1"/>
      <c r="P35" s="1"/>
      <c r="Q35" s="1"/>
      <c r="R35" s="1"/>
      <c r="S35" s="1"/>
      <c r="T35" s="1"/>
      <c r="U35" s="1"/>
      <c r="V35" s="1"/>
      <c r="W35" s="1"/>
      <c r="X35" s="1"/>
      <c r="Y35" s="1"/>
    </row>
    <row r="36" ht="14.25" customHeight="1">
      <c r="A36" s="1"/>
      <c r="B36" s="754">
        <f t="shared" si="1"/>
        <v>33</v>
      </c>
      <c r="C36" s="754" t="s">
        <v>361</v>
      </c>
      <c r="D36" s="754" t="s">
        <v>114</v>
      </c>
      <c r="E36" s="754"/>
      <c r="F36" s="754"/>
      <c r="G36" s="755" t="s">
        <v>232</v>
      </c>
      <c r="H36" s="755" t="s">
        <v>331</v>
      </c>
      <c r="I36" s="755" t="s">
        <v>234</v>
      </c>
      <c r="J36" s="755" t="s">
        <v>232</v>
      </c>
      <c r="K36" s="754" t="s">
        <v>232</v>
      </c>
      <c r="L36" s="1"/>
      <c r="M36" s="1"/>
      <c r="N36" s="1"/>
      <c r="O36" s="1"/>
      <c r="P36" s="1"/>
      <c r="Q36" s="1"/>
      <c r="R36" s="1"/>
      <c r="S36" s="1"/>
      <c r="T36" s="1"/>
      <c r="U36" s="1"/>
      <c r="V36" s="1"/>
      <c r="W36" s="1"/>
      <c r="X36" s="1"/>
      <c r="Y36" s="1"/>
    </row>
    <row r="37" ht="14.25" customHeight="1">
      <c r="A37" s="1"/>
      <c r="B37" s="754">
        <f t="shared" si="1"/>
        <v>34</v>
      </c>
      <c r="C37" s="754" t="s">
        <v>362</v>
      </c>
      <c r="D37" s="754" t="s">
        <v>114</v>
      </c>
      <c r="E37" s="754"/>
      <c r="F37" s="754"/>
      <c r="G37" s="755" t="s">
        <v>234</v>
      </c>
      <c r="H37" s="755" t="s">
        <v>326</v>
      </c>
      <c r="I37" s="755" t="s">
        <v>234</v>
      </c>
      <c r="J37" s="755" t="s">
        <v>234</v>
      </c>
      <c r="K37" s="754" t="s">
        <v>232</v>
      </c>
      <c r="L37" s="1"/>
      <c r="M37" s="1"/>
      <c r="N37" s="1"/>
      <c r="O37" s="1"/>
      <c r="P37" s="1"/>
      <c r="Q37" s="1"/>
      <c r="R37" s="1"/>
      <c r="S37" s="1"/>
      <c r="T37" s="1"/>
      <c r="U37" s="1"/>
      <c r="V37" s="1"/>
      <c r="W37" s="1"/>
      <c r="X37" s="1"/>
      <c r="Y37" s="1"/>
    </row>
    <row r="38" ht="28.5" customHeight="1">
      <c r="A38" s="1"/>
      <c r="B38" s="754">
        <f t="shared" si="1"/>
        <v>35</v>
      </c>
      <c r="C38" s="754" t="s">
        <v>363</v>
      </c>
      <c r="D38" s="754" t="s">
        <v>114</v>
      </c>
      <c r="E38" s="754"/>
      <c r="F38" s="754"/>
      <c r="G38" s="755" t="s">
        <v>359</v>
      </c>
      <c r="H38" s="755" t="s">
        <v>360</v>
      </c>
      <c r="I38" s="755" t="s">
        <v>232</v>
      </c>
      <c r="J38" s="755" t="s">
        <v>232</v>
      </c>
      <c r="K38" s="754" t="s">
        <v>232</v>
      </c>
      <c r="L38" s="1"/>
      <c r="M38" s="1"/>
      <c r="N38" s="1"/>
      <c r="O38" s="1"/>
      <c r="P38" s="1"/>
      <c r="Q38" s="1"/>
      <c r="R38" s="1"/>
      <c r="S38" s="1"/>
      <c r="T38" s="1"/>
      <c r="U38" s="1"/>
      <c r="V38" s="1"/>
      <c r="W38" s="1"/>
      <c r="X38" s="1"/>
      <c r="Y38" s="1"/>
    </row>
    <row r="39" ht="14.25" customHeight="1">
      <c r="A39" s="1"/>
      <c r="B39" s="754">
        <f t="shared" si="1"/>
        <v>36</v>
      </c>
      <c r="C39" s="754" t="s">
        <v>364</v>
      </c>
      <c r="D39" s="754" t="s">
        <v>114</v>
      </c>
      <c r="E39" s="754"/>
      <c r="F39" s="754"/>
      <c r="G39" s="755" t="s">
        <v>234</v>
      </c>
      <c r="H39" s="755" t="s">
        <v>326</v>
      </c>
      <c r="I39" s="755" t="s">
        <v>234</v>
      </c>
      <c r="J39" s="755" t="s">
        <v>232</v>
      </c>
      <c r="K39" s="754" t="s">
        <v>232</v>
      </c>
      <c r="L39" s="1"/>
      <c r="M39" s="1"/>
      <c r="N39" s="1"/>
      <c r="O39" s="1"/>
      <c r="P39" s="1"/>
      <c r="Q39" s="1"/>
      <c r="R39" s="1"/>
      <c r="S39" s="1"/>
      <c r="T39" s="1"/>
      <c r="U39" s="1"/>
      <c r="V39" s="1"/>
      <c r="W39" s="1"/>
      <c r="X39" s="1"/>
      <c r="Y39" s="1"/>
    </row>
    <row r="40" ht="29.25" customHeight="1">
      <c r="A40" s="1"/>
      <c r="B40" s="754">
        <f t="shared" si="1"/>
        <v>37</v>
      </c>
      <c r="C40" s="754" t="s">
        <v>115</v>
      </c>
      <c r="D40" s="754" t="s">
        <v>114</v>
      </c>
      <c r="E40" s="754"/>
      <c r="F40" s="754"/>
      <c r="G40" s="755" t="s">
        <v>359</v>
      </c>
      <c r="H40" s="755" t="s">
        <v>360</v>
      </c>
      <c r="I40" s="755" t="s">
        <v>232</v>
      </c>
      <c r="J40" s="755" t="s">
        <v>232</v>
      </c>
      <c r="K40" s="754" t="s">
        <v>232</v>
      </c>
      <c r="L40" s="1"/>
      <c r="M40" s="1"/>
      <c r="N40" s="1"/>
      <c r="O40" s="1"/>
      <c r="P40" s="1"/>
      <c r="Q40" s="1"/>
      <c r="R40" s="1"/>
      <c r="S40" s="1"/>
      <c r="T40" s="1"/>
      <c r="U40" s="1"/>
      <c r="V40" s="1"/>
      <c r="W40" s="1"/>
      <c r="X40" s="1"/>
      <c r="Y40" s="1"/>
    </row>
    <row r="41" ht="14.25" customHeight="1">
      <c r="A41" s="1"/>
      <c r="B41" s="754">
        <f t="shared" si="1"/>
        <v>38</v>
      </c>
      <c r="C41" s="754" t="s">
        <v>365</v>
      </c>
      <c r="D41" s="754" t="s">
        <v>114</v>
      </c>
      <c r="E41" s="754"/>
      <c r="F41" s="754"/>
      <c r="G41" s="755" t="s">
        <v>232</v>
      </c>
      <c r="H41" s="755" t="s">
        <v>331</v>
      </c>
      <c r="I41" s="755" t="s">
        <v>232</v>
      </c>
      <c r="J41" s="755" t="s">
        <v>232</v>
      </c>
      <c r="K41" s="754" t="s">
        <v>232</v>
      </c>
      <c r="L41" s="1"/>
      <c r="M41" s="1"/>
      <c r="N41" s="1"/>
      <c r="O41" s="1"/>
      <c r="P41" s="1"/>
      <c r="Q41" s="1"/>
      <c r="R41" s="1"/>
      <c r="S41" s="1"/>
      <c r="T41" s="1"/>
      <c r="U41" s="1"/>
      <c r="V41" s="1"/>
      <c r="W41" s="1"/>
      <c r="X41" s="1"/>
      <c r="Y41" s="1"/>
    </row>
    <row r="42" ht="14.25" customHeight="1">
      <c r="A42" s="1"/>
      <c r="B42" s="754">
        <f t="shared" si="1"/>
        <v>39</v>
      </c>
      <c r="C42" s="754" t="s">
        <v>366</v>
      </c>
      <c r="D42" s="754" t="s">
        <v>114</v>
      </c>
      <c r="E42" s="754"/>
      <c r="F42" s="754"/>
      <c r="G42" s="755" t="s">
        <v>232</v>
      </c>
      <c r="H42" s="755" t="s">
        <v>331</v>
      </c>
      <c r="I42" s="755" t="s">
        <v>234</v>
      </c>
      <c r="J42" s="755" t="s">
        <v>234</v>
      </c>
      <c r="K42" s="754" t="s">
        <v>232</v>
      </c>
      <c r="L42" s="1"/>
      <c r="M42" s="1"/>
      <c r="N42" s="1"/>
      <c r="O42" s="1"/>
      <c r="P42" s="1"/>
      <c r="Q42" s="1"/>
      <c r="R42" s="1"/>
      <c r="S42" s="1"/>
      <c r="T42" s="1"/>
      <c r="U42" s="1"/>
      <c r="V42" s="1"/>
      <c r="W42" s="1"/>
      <c r="X42" s="1"/>
      <c r="Y42" s="1"/>
    </row>
    <row r="43" ht="14.25" customHeight="1">
      <c r="A43" s="1"/>
      <c r="B43" s="754">
        <f t="shared" si="1"/>
        <v>40</v>
      </c>
      <c r="C43" s="754" t="s">
        <v>367</v>
      </c>
      <c r="D43" s="754" t="s">
        <v>114</v>
      </c>
      <c r="E43" s="754"/>
      <c r="F43" s="754"/>
      <c r="G43" s="755" t="s">
        <v>232</v>
      </c>
      <c r="H43" s="755" t="s">
        <v>331</v>
      </c>
      <c r="I43" s="755" t="s">
        <v>234</v>
      </c>
      <c r="J43" s="755" t="s">
        <v>234</v>
      </c>
      <c r="K43" s="754" t="s">
        <v>232</v>
      </c>
      <c r="L43" s="1"/>
      <c r="M43" s="1"/>
      <c r="N43" s="1"/>
      <c r="O43" s="1"/>
      <c r="P43" s="1"/>
      <c r="Q43" s="1"/>
      <c r="R43" s="1"/>
      <c r="S43" s="1"/>
      <c r="T43" s="1"/>
      <c r="U43" s="1"/>
      <c r="V43" s="1"/>
      <c r="W43" s="1"/>
      <c r="X43" s="1"/>
      <c r="Y43" s="1"/>
    </row>
    <row r="44" ht="14.25" customHeight="1">
      <c r="A44" s="1"/>
      <c r="B44" s="754">
        <f t="shared" si="1"/>
        <v>41</v>
      </c>
      <c r="C44" s="754" t="s">
        <v>368</v>
      </c>
      <c r="D44" s="754" t="s">
        <v>114</v>
      </c>
      <c r="E44" s="754"/>
      <c r="F44" s="754"/>
      <c r="G44" s="755" t="s">
        <v>232</v>
      </c>
      <c r="H44" s="755" t="s">
        <v>331</v>
      </c>
      <c r="I44" s="755" t="s">
        <v>232</v>
      </c>
      <c r="J44" s="755" t="s">
        <v>232</v>
      </c>
      <c r="K44" s="754" t="s">
        <v>232</v>
      </c>
      <c r="L44" s="1"/>
      <c r="M44" s="1"/>
      <c r="N44" s="1"/>
      <c r="O44" s="1"/>
      <c r="P44" s="1"/>
      <c r="Q44" s="1"/>
      <c r="R44" s="1"/>
      <c r="S44" s="1"/>
      <c r="T44" s="1"/>
      <c r="U44" s="1"/>
      <c r="V44" s="1"/>
      <c r="W44" s="1"/>
      <c r="X44" s="1"/>
      <c r="Y44" s="1"/>
    </row>
    <row r="45" ht="14.25" customHeight="1">
      <c r="A45" s="1"/>
      <c r="B45" s="754">
        <f t="shared" si="1"/>
        <v>42</v>
      </c>
      <c r="C45" s="754" t="s">
        <v>369</v>
      </c>
      <c r="D45" s="754" t="s">
        <v>114</v>
      </c>
      <c r="E45" s="754"/>
      <c r="F45" s="754"/>
      <c r="G45" s="755" t="s">
        <v>232</v>
      </c>
      <c r="H45" s="755" t="s">
        <v>331</v>
      </c>
      <c r="I45" s="755" t="s">
        <v>232</v>
      </c>
      <c r="J45" s="755" t="s">
        <v>232</v>
      </c>
      <c r="K45" s="754" t="s">
        <v>232</v>
      </c>
      <c r="L45" s="1"/>
      <c r="M45" s="1"/>
      <c r="N45" s="1"/>
      <c r="O45" s="1"/>
      <c r="P45" s="1"/>
      <c r="Q45" s="1"/>
      <c r="R45" s="1"/>
      <c r="S45" s="1"/>
      <c r="T45" s="1"/>
      <c r="U45" s="1"/>
      <c r="V45" s="1"/>
      <c r="W45" s="1"/>
      <c r="X45" s="1"/>
      <c r="Y45" s="1"/>
    </row>
    <row r="46" ht="14.25" customHeight="1">
      <c r="A46" s="1"/>
      <c r="B46" s="754">
        <f t="shared" si="1"/>
        <v>43</v>
      </c>
      <c r="C46" s="754" t="s">
        <v>370</v>
      </c>
      <c r="D46" s="754" t="s">
        <v>114</v>
      </c>
      <c r="E46" s="754"/>
      <c r="F46" s="754"/>
      <c r="G46" s="755" t="s">
        <v>232</v>
      </c>
      <c r="H46" s="755" t="s">
        <v>331</v>
      </c>
      <c r="I46" s="755" t="s">
        <v>232</v>
      </c>
      <c r="J46" s="755" t="s">
        <v>232</v>
      </c>
      <c r="K46" s="754" t="s">
        <v>232</v>
      </c>
      <c r="L46" s="1"/>
      <c r="M46" s="1"/>
      <c r="N46" s="1"/>
      <c r="O46" s="1"/>
      <c r="P46" s="1"/>
      <c r="Q46" s="1"/>
      <c r="R46" s="1"/>
      <c r="S46" s="1"/>
      <c r="T46" s="1"/>
      <c r="U46" s="1"/>
      <c r="V46" s="1"/>
      <c r="W46" s="1"/>
      <c r="X46" s="1"/>
      <c r="Y46" s="1"/>
    </row>
    <row r="47" ht="14.25" customHeight="1">
      <c r="A47" s="1"/>
      <c r="B47" s="754">
        <f t="shared" si="1"/>
        <v>44</v>
      </c>
      <c r="C47" s="754" t="s">
        <v>371</v>
      </c>
      <c r="D47" s="754" t="s">
        <v>114</v>
      </c>
      <c r="E47" s="754"/>
      <c r="F47" s="754"/>
      <c r="G47" s="755" t="s">
        <v>232</v>
      </c>
      <c r="H47" s="755" t="s">
        <v>331</v>
      </c>
      <c r="I47" s="755" t="s">
        <v>232</v>
      </c>
      <c r="J47" s="755" t="s">
        <v>232</v>
      </c>
      <c r="K47" s="754" t="s">
        <v>232</v>
      </c>
      <c r="L47" s="1"/>
      <c r="M47" s="1"/>
      <c r="N47" s="1"/>
      <c r="O47" s="1"/>
      <c r="P47" s="1"/>
      <c r="Q47" s="1"/>
      <c r="R47" s="1"/>
      <c r="S47" s="1"/>
      <c r="T47" s="1"/>
      <c r="U47" s="1"/>
      <c r="V47" s="1"/>
      <c r="W47" s="1"/>
      <c r="X47" s="1"/>
      <c r="Y47" s="1"/>
    </row>
    <row r="48" ht="14.25" customHeight="1">
      <c r="A48" s="1"/>
      <c r="B48" s="754">
        <f t="shared" si="1"/>
        <v>45</v>
      </c>
      <c r="C48" s="754" t="s">
        <v>372</v>
      </c>
      <c r="D48" s="754" t="s">
        <v>114</v>
      </c>
      <c r="E48" s="754"/>
      <c r="F48" s="754"/>
      <c r="G48" s="755" t="s">
        <v>232</v>
      </c>
      <c r="H48" s="755" t="s">
        <v>331</v>
      </c>
      <c r="I48" s="755" t="s">
        <v>234</v>
      </c>
      <c r="J48" s="755" t="s">
        <v>232</v>
      </c>
      <c r="K48" s="754" t="s">
        <v>232</v>
      </c>
      <c r="L48" s="1"/>
      <c r="M48" s="1"/>
      <c r="N48" s="1"/>
      <c r="O48" s="1"/>
      <c r="P48" s="1"/>
      <c r="Q48" s="1"/>
      <c r="R48" s="1"/>
      <c r="S48" s="1"/>
      <c r="T48" s="1"/>
      <c r="U48" s="1"/>
      <c r="V48" s="1"/>
      <c r="W48" s="1"/>
      <c r="X48" s="1"/>
      <c r="Y48" s="1"/>
    </row>
    <row r="49" ht="14.25" customHeight="1">
      <c r="A49" s="1"/>
      <c r="B49" s="754">
        <f t="shared" si="1"/>
        <v>46</v>
      </c>
      <c r="C49" s="754" t="s">
        <v>122</v>
      </c>
      <c r="D49" s="754" t="s">
        <v>121</v>
      </c>
      <c r="E49" s="754"/>
      <c r="F49" s="754"/>
      <c r="G49" s="755" t="s">
        <v>234</v>
      </c>
      <c r="H49" s="755" t="s">
        <v>326</v>
      </c>
      <c r="I49" s="755" t="s">
        <v>232</v>
      </c>
      <c r="J49" s="755" t="s">
        <v>232</v>
      </c>
      <c r="K49" s="754" t="s">
        <v>232</v>
      </c>
      <c r="L49" s="1"/>
      <c r="M49" s="1"/>
      <c r="N49" s="1"/>
      <c r="O49" s="1"/>
      <c r="P49" s="1"/>
      <c r="Q49" s="1"/>
      <c r="R49" s="1"/>
      <c r="S49" s="1"/>
      <c r="T49" s="1"/>
      <c r="U49" s="1"/>
      <c r="V49" s="1"/>
      <c r="W49" s="1"/>
      <c r="X49" s="1"/>
      <c r="Y49" s="1"/>
    </row>
    <row r="50" ht="14.25" customHeight="1">
      <c r="A50" s="1"/>
      <c r="B50" s="754">
        <f t="shared" si="1"/>
        <v>47</v>
      </c>
      <c r="C50" s="754" t="s">
        <v>373</v>
      </c>
      <c r="D50" s="754" t="s">
        <v>114</v>
      </c>
      <c r="E50" s="754"/>
      <c r="F50" s="754"/>
      <c r="G50" s="755" t="s">
        <v>232</v>
      </c>
      <c r="H50" s="755" t="s">
        <v>331</v>
      </c>
      <c r="I50" s="755" t="s">
        <v>234</v>
      </c>
      <c r="J50" s="755" t="s">
        <v>234</v>
      </c>
      <c r="K50" s="754" t="s">
        <v>232</v>
      </c>
      <c r="L50" s="1"/>
      <c r="M50" s="1"/>
      <c r="N50" s="1"/>
      <c r="O50" s="1"/>
      <c r="P50" s="1"/>
      <c r="Q50" s="1"/>
      <c r="R50" s="1"/>
      <c r="S50" s="1"/>
      <c r="T50" s="1"/>
      <c r="U50" s="1"/>
      <c r="V50" s="1"/>
      <c r="W50" s="1"/>
      <c r="X50" s="1"/>
      <c r="Y50" s="1"/>
    </row>
    <row r="51" ht="29.25" customHeight="1">
      <c r="A51" s="1"/>
      <c r="B51" s="754">
        <f t="shared" si="1"/>
        <v>48</v>
      </c>
      <c r="C51" s="754" t="s">
        <v>374</v>
      </c>
      <c r="D51" s="754" t="s">
        <v>114</v>
      </c>
      <c r="E51" s="754"/>
      <c r="F51" s="754"/>
      <c r="G51" s="755" t="s">
        <v>359</v>
      </c>
      <c r="H51" s="755" t="s">
        <v>360</v>
      </c>
      <c r="I51" s="755" t="s">
        <v>232</v>
      </c>
      <c r="J51" s="755" t="s">
        <v>232</v>
      </c>
      <c r="K51" s="754" t="s">
        <v>232</v>
      </c>
      <c r="L51" s="1"/>
      <c r="M51" s="1"/>
      <c r="N51" s="1"/>
      <c r="O51" s="1"/>
      <c r="P51" s="1"/>
      <c r="Q51" s="1"/>
      <c r="R51" s="1"/>
      <c r="S51" s="1"/>
      <c r="T51" s="1"/>
      <c r="U51" s="1"/>
      <c r="V51" s="1"/>
      <c r="W51" s="1"/>
      <c r="X51" s="1"/>
      <c r="Y51" s="1"/>
    </row>
    <row r="52" ht="14.25" customHeight="1">
      <c r="A52" s="1"/>
      <c r="B52" s="754">
        <f t="shared" si="1"/>
        <v>49</v>
      </c>
      <c r="C52" s="754" t="s">
        <v>375</v>
      </c>
      <c r="D52" s="754" t="s">
        <v>114</v>
      </c>
      <c r="E52" s="754"/>
      <c r="F52" s="754"/>
      <c r="G52" s="755" t="s">
        <v>232</v>
      </c>
      <c r="H52" s="755" t="s">
        <v>331</v>
      </c>
      <c r="I52" s="755" t="s">
        <v>232</v>
      </c>
      <c r="J52" s="755" t="s">
        <v>232</v>
      </c>
      <c r="K52" s="754" t="s">
        <v>232</v>
      </c>
      <c r="L52" s="1"/>
      <c r="M52" s="1"/>
      <c r="N52" s="1"/>
      <c r="O52" s="1"/>
      <c r="P52" s="1"/>
      <c r="Q52" s="1"/>
      <c r="R52" s="1"/>
      <c r="S52" s="1"/>
      <c r="T52" s="1"/>
      <c r="U52" s="1"/>
      <c r="V52" s="1"/>
      <c r="W52" s="1"/>
      <c r="X52" s="1"/>
      <c r="Y52" s="1"/>
    </row>
    <row r="53" ht="14.25" customHeight="1">
      <c r="A53" s="1"/>
      <c r="B53" s="754">
        <f t="shared" si="1"/>
        <v>50</v>
      </c>
      <c r="C53" s="754" t="s">
        <v>117</v>
      </c>
      <c r="D53" s="754" t="s">
        <v>114</v>
      </c>
      <c r="E53" s="754"/>
      <c r="F53" s="754"/>
      <c r="G53" s="755" t="s">
        <v>232</v>
      </c>
      <c r="H53" s="755" t="s">
        <v>331</v>
      </c>
      <c r="I53" s="755" t="s">
        <v>232</v>
      </c>
      <c r="J53" s="755" t="s">
        <v>232</v>
      </c>
      <c r="K53" s="754" t="s">
        <v>232</v>
      </c>
      <c r="L53" s="1"/>
      <c r="M53" s="1"/>
      <c r="N53" s="1"/>
      <c r="O53" s="1"/>
      <c r="P53" s="1"/>
      <c r="Q53" s="1"/>
      <c r="R53" s="1"/>
      <c r="S53" s="1"/>
      <c r="T53" s="1"/>
      <c r="U53" s="1"/>
      <c r="V53" s="1"/>
      <c r="W53" s="1"/>
      <c r="X53" s="1"/>
      <c r="Y53" s="1"/>
    </row>
    <row r="54" ht="29.25" customHeight="1">
      <c r="A54" s="1"/>
      <c r="B54" s="754">
        <f t="shared" si="1"/>
        <v>51</v>
      </c>
      <c r="C54" s="754" t="s">
        <v>376</v>
      </c>
      <c r="D54" s="754" t="s">
        <v>114</v>
      </c>
      <c r="E54" s="754"/>
      <c r="F54" s="754"/>
      <c r="G54" s="755" t="s">
        <v>232</v>
      </c>
      <c r="H54" s="755" t="s">
        <v>331</v>
      </c>
      <c r="I54" s="755" t="s">
        <v>232</v>
      </c>
      <c r="J54" s="755" t="s">
        <v>232</v>
      </c>
      <c r="K54" s="754"/>
      <c r="L54" s="1"/>
      <c r="M54" s="1"/>
      <c r="N54" s="1"/>
      <c r="O54" s="1"/>
      <c r="P54" s="1"/>
      <c r="Q54" s="1"/>
      <c r="R54" s="1"/>
      <c r="S54" s="1"/>
      <c r="T54" s="1"/>
      <c r="U54" s="1"/>
      <c r="V54" s="1"/>
      <c r="W54" s="1"/>
      <c r="X54" s="1"/>
      <c r="Y54" s="1"/>
    </row>
    <row r="55" ht="14.25" customHeight="1">
      <c r="A55" s="1"/>
      <c r="B55" s="754">
        <f t="shared" si="1"/>
        <v>52</v>
      </c>
      <c r="C55" s="754" t="s">
        <v>377</v>
      </c>
      <c r="D55" s="754" t="s">
        <v>240</v>
      </c>
      <c r="E55" s="754"/>
      <c r="F55" s="754"/>
      <c r="G55" s="755" t="s">
        <v>232</v>
      </c>
      <c r="H55" s="755" t="s">
        <v>331</v>
      </c>
      <c r="I55" s="755" t="s">
        <v>232</v>
      </c>
      <c r="J55" s="755" t="s">
        <v>232</v>
      </c>
      <c r="K55" s="754" t="s">
        <v>232</v>
      </c>
      <c r="L55" s="1"/>
      <c r="M55" s="1"/>
      <c r="N55" s="1"/>
      <c r="O55" s="1"/>
      <c r="P55" s="1"/>
      <c r="Q55" s="1"/>
      <c r="R55" s="1"/>
      <c r="S55" s="1"/>
      <c r="T55" s="1"/>
      <c r="U55" s="1"/>
      <c r="V55" s="1"/>
      <c r="W55" s="1"/>
      <c r="X55" s="1"/>
      <c r="Y55" s="1"/>
    </row>
    <row r="56" ht="14.25" customHeight="1">
      <c r="A56" s="1"/>
      <c r="B56" s="754">
        <f t="shared" si="1"/>
        <v>53</v>
      </c>
      <c r="C56" s="754" t="s">
        <v>378</v>
      </c>
      <c r="D56" s="754" t="s">
        <v>240</v>
      </c>
      <c r="E56" s="754"/>
      <c r="F56" s="754"/>
      <c r="G56" s="755" t="s">
        <v>234</v>
      </c>
      <c r="H56" s="755" t="s">
        <v>326</v>
      </c>
      <c r="I56" s="755" t="s">
        <v>234</v>
      </c>
      <c r="J56" s="755" t="s">
        <v>234</v>
      </c>
      <c r="K56" s="754" t="s">
        <v>232</v>
      </c>
      <c r="L56" s="1"/>
      <c r="M56" s="1"/>
      <c r="N56" s="1"/>
      <c r="O56" s="1"/>
      <c r="P56" s="1"/>
      <c r="Q56" s="1"/>
      <c r="R56" s="1"/>
      <c r="S56" s="1"/>
      <c r="T56" s="1"/>
      <c r="U56" s="1"/>
      <c r="V56" s="1"/>
      <c r="W56" s="1"/>
      <c r="X56" s="1"/>
      <c r="Y56" s="1"/>
    </row>
    <row r="57" ht="14.25" customHeight="1">
      <c r="A57" s="1"/>
      <c r="B57" s="754">
        <f t="shared" si="1"/>
        <v>54</v>
      </c>
      <c r="C57" s="754" t="s">
        <v>379</v>
      </c>
      <c r="D57" s="754" t="s">
        <v>240</v>
      </c>
      <c r="E57" s="754"/>
      <c r="F57" s="754"/>
      <c r="G57" s="755" t="s">
        <v>234</v>
      </c>
      <c r="H57" s="755" t="s">
        <v>326</v>
      </c>
      <c r="I57" s="755" t="s">
        <v>232</v>
      </c>
      <c r="J57" s="755" t="s">
        <v>232</v>
      </c>
      <c r="K57" s="754" t="s">
        <v>232</v>
      </c>
      <c r="L57" s="1"/>
      <c r="M57" s="1"/>
      <c r="N57" s="1"/>
      <c r="O57" s="1"/>
      <c r="P57" s="1"/>
      <c r="Q57" s="1"/>
      <c r="R57" s="1"/>
      <c r="S57" s="1"/>
      <c r="T57" s="1"/>
      <c r="U57" s="1"/>
      <c r="V57" s="1"/>
      <c r="W57" s="1"/>
      <c r="X57" s="1"/>
      <c r="Y57" s="1"/>
    </row>
    <row r="58" ht="14.25" customHeight="1">
      <c r="A58" s="1"/>
      <c r="B58" s="754">
        <f t="shared" si="1"/>
        <v>55</v>
      </c>
      <c r="C58" s="754" t="s">
        <v>380</v>
      </c>
      <c r="D58" s="754" t="s">
        <v>240</v>
      </c>
      <c r="E58" s="754"/>
      <c r="F58" s="754"/>
      <c r="G58" s="755" t="s">
        <v>234</v>
      </c>
      <c r="H58" s="755" t="s">
        <v>326</v>
      </c>
      <c r="I58" s="755" t="s">
        <v>232</v>
      </c>
      <c r="J58" s="755" t="s">
        <v>232</v>
      </c>
      <c r="K58" s="754" t="s">
        <v>232</v>
      </c>
      <c r="L58" s="1"/>
      <c r="M58" s="1"/>
      <c r="N58" s="1"/>
      <c r="O58" s="1"/>
      <c r="P58" s="1"/>
      <c r="Q58" s="1"/>
      <c r="R58" s="1"/>
      <c r="S58" s="1"/>
      <c r="T58" s="1"/>
      <c r="U58" s="1"/>
      <c r="V58" s="1"/>
      <c r="W58" s="1"/>
      <c r="X58" s="1"/>
      <c r="Y58" s="1"/>
    </row>
    <row r="59" ht="14.25" customHeight="1">
      <c r="A59" s="1"/>
      <c r="B59" s="754">
        <f t="shared" si="1"/>
        <v>56</v>
      </c>
      <c r="C59" s="754" t="s">
        <v>381</v>
      </c>
      <c r="D59" s="754" t="s">
        <v>237</v>
      </c>
      <c r="E59" s="754"/>
      <c r="F59" s="754"/>
      <c r="G59" s="755" t="s">
        <v>234</v>
      </c>
      <c r="H59" s="755" t="s">
        <v>326</v>
      </c>
      <c r="I59" s="755" t="s">
        <v>234</v>
      </c>
      <c r="J59" s="755" t="s">
        <v>234</v>
      </c>
      <c r="K59" s="754" t="s">
        <v>232</v>
      </c>
      <c r="L59" s="1"/>
      <c r="M59" s="1"/>
      <c r="N59" s="1"/>
      <c r="O59" s="1"/>
      <c r="P59" s="1"/>
      <c r="Q59" s="1"/>
      <c r="R59" s="1"/>
      <c r="S59" s="1"/>
      <c r="T59" s="1"/>
      <c r="U59" s="1"/>
      <c r="V59" s="1"/>
      <c r="W59" s="1"/>
      <c r="X59" s="1"/>
      <c r="Y59" s="1"/>
    </row>
    <row r="60" ht="14.25" customHeight="1">
      <c r="A60" s="1"/>
      <c r="B60" s="754">
        <f t="shared" si="1"/>
        <v>57</v>
      </c>
      <c r="C60" s="754" t="s">
        <v>382</v>
      </c>
      <c r="D60" s="754" t="s">
        <v>241</v>
      </c>
      <c r="E60" s="754"/>
      <c r="F60" s="754"/>
      <c r="G60" s="755" t="s">
        <v>232</v>
      </c>
      <c r="H60" s="755" t="s">
        <v>331</v>
      </c>
      <c r="I60" s="755" t="s">
        <v>351</v>
      </c>
      <c r="J60" s="755" t="s">
        <v>234</v>
      </c>
      <c r="K60" s="754" t="s">
        <v>232</v>
      </c>
      <c r="L60" s="1"/>
      <c r="M60" s="1"/>
      <c r="N60" s="1"/>
      <c r="O60" s="1"/>
      <c r="P60" s="1"/>
      <c r="Q60" s="1"/>
      <c r="R60" s="1"/>
      <c r="S60" s="1"/>
      <c r="T60" s="1"/>
      <c r="U60" s="1"/>
      <c r="V60" s="1"/>
      <c r="W60" s="1"/>
      <c r="X60" s="1"/>
      <c r="Y60" s="1"/>
    </row>
    <row r="61" ht="14.25" customHeight="1">
      <c r="A61" s="1"/>
      <c r="B61" s="754">
        <f t="shared" si="1"/>
        <v>58</v>
      </c>
      <c r="C61" s="754" t="s">
        <v>383</v>
      </c>
      <c r="D61" s="754" t="s">
        <v>237</v>
      </c>
      <c r="E61" s="754"/>
      <c r="F61" s="754"/>
      <c r="G61" s="755" t="s">
        <v>232</v>
      </c>
      <c r="H61" s="755" t="s">
        <v>331</v>
      </c>
      <c r="I61" s="755" t="s">
        <v>234</v>
      </c>
      <c r="J61" s="755" t="s">
        <v>234</v>
      </c>
      <c r="K61" s="754" t="s">
        <v>232</v>
      </c>
      <c r="L61" s="1"/>
      <c r="M61" s="1"/>
      <c r="N61" s="1"/>
      <c r="O61" s="1"/>
      <c r="P61" s="1"/>
      <c r="Q61" s="1"/>
      <c r="R61" s="1"/>
      <c r="S61" s="1"/>
      <c r="T61" s="1"/>
      <c r="U61" s="1"/>
      <c r="V61" s="1"/>
      <c r="W61" s="1"/>
      <c r="X61" s="1"/>
      <c r="Y61" s="1"/>
    </row>
    <row r="62" ht="14.25" customHeight="1">
      <c r="A62" s="1"/>
      <c r="B62" s="754">
        <f t="shared" si="1"/>
        <v>59</v>
      </c>
      <c r="C62" s="754" t="s">
        <v>384</v>
      </c>
      <c r="D62" s="754" t="s">
        <v>237</v>
      </c>
      <c r="E62" s="754"/>
      <c r="F62" s="754"/>
      <c r="G62" s="755" t="s">
        <v>232</v>
      </c>
      <c r="H62" s="755" t="s">
        <v>331</v>
      </c>
      <c r="I62" s="755" t="s">
        <v>351</v>
      </c>
      <c r="J62" s="755" t="s">
        <v>234</v>
      </c>
      <c r="K62" s="754" t="s">
        <v>232</v>
      </c>
      <c r="L62" s="1"/>
      <c r="M62" s="1"/>
      <c r="N62" s="1"/>
      <c r="O62" s="1"/>
      <c r="P62" s="1"/>
      <c r="Q62" s="1"/>
      <c r="R62" s="1"/>
      <c r="S62" s="1"/>
      <c r="T62" s="1"/>
      <c r="U62" s="1"/>
      <c r="V62" s="1"/>
      <c r="W62" s="1"/>
      <c r="X62" s="1"/>
      <c r="Y62" s="1"/>
    </row>
    <row r="63" ht="14.25" customHeight="1">
      <c r="A63" s="1"/>
      <c r="B63" s="754">
        <f t="shared" si="1"/>
        <v>60</v>
      </c>
      <c r="C63" s="754" t="s">
        <v>385</v>
      </c>
      <c r="D63" s="754" t="s">
        <v>237</v>
      </c>
      <c r="E63" s="754"/>
      <c r="F63" s="754"/>
      <c r="G63" s="755" t="s">
        <v>232</v>
      </c>
      <c r="H63" s="755" t="s">
        <v>331</v>
      </c>
      <c r="I63" s="755" t="s">
        <v>234</v>
      </c>
      <c r="J63" s="755" t="s">
        <v>234</v>
      </c>
      <c r="K63" s="754" t="s">
        <v>232</v>
      </c>
      <c r="L63" s="1"/>
      <c r="M63" s="1"/>
      <c r="N63" s="1"/>
      <c r="O63" s="1"/>
      <c r="P63" s="1"/>
      <c r="Q63" s="1"/>
      <c r="R63" s="1"/>
      <c r="S63" s="1"/>
      <c r="T63" s="1"/>
      <c r="U63" s="1"/>
      <c r="V63" s="1"/>
      <c r="W63" s="1"/>
      <c r="X63" s="1"/>
      <c r="Y63" s="1"/>
    </row>
    <row r="64" ht="14.25" customHeight="1">
      <c r="A64" s="1"/>
      <c r="B64" s="754">
        <f t="shared" si="1"/>
        <v>61</v>
      </c>
      <c r="C64" s="754" t="s">
        <v>386</v>
      </c>
      <c r="D64" s="754" t="s">
        <v>237</v>
      </c>
      <c r="E64" s="754"/>
      <c r="F64" s="754"/>
      <c r="G64" s="755" t="s">
        <v>232</v>
      </c>
      <c r="H64" s="755" t="s">
        <v>331</v>
      </c>
      <c r="I64" s="755" t="s">
        <v>351</v>
      </c>
      <c r="J64" s="755" t="s">
        <v>234</v>
      </c>
      <c r="K64" s="754" t="s">
        <v>232</v>
      </c>
      <c r="L64" s="1"/>
      <c r="M64" s="1"/>
      <c r="N64" s="1"/>
      <c r="O64" s="1"/>
      <c r="P64" s="1"/>
      <c r="Q64" s="1"/>
      <c r="R64" s="1"/>
      <c r="S64" s="1"/>
      <c r="T64" s="1"/>
      <c r="U64" s="1"/>
      <c r="V64" s="1"/>
      <c r="W64" s="1"/>
      <c r="X64" s="1"/>
      <c r="Y64" s="1"/>
    </row>
    <row r="65" ht="14.25" customHeight="1">
      <c r="A65" s="1"/>
      <c r="B65" s="754">
        <f t="shared" si="1"/>
        <v>62</v>
      </c>
      <c r="C65" s="754" t="s">
        <v>387</v>
      </c>
      <c r="D65" s="754" t="s">
        <v>237</v>
      </c>
      <c r="E65" s="754"/>
      <c r="F65" s="754"/>
      <c r="G65" s="755" t="s">
        <v>232</v>
      </c>
      <c r="H65" s="755" t="s">
        <v>331</v>
      </c>
      <c r="I65" s="755" t="s">
        <v>351</v>
      </c>
      <c r="J65" s="755" t="s">
        <v>234</v>
      </c>
      <c r="K65" s="754" t="s">
        <v>232</v>
      </c>
      <c r="L65" s="1"/>
      <c r="M65" s="1"/>
      <c r="N65" s="1"/>
      <c r="O65" s="1"/>
      <c r="P65" s="1"/>
      <c r="Q65" s="1"/>
      <c r="R65" s="1"/>
      <c r="S65" s="1"/>
      <c r="T65" s="1"/>
      <c r="U65" s="1"/>
      <c r="V65" s="1"/>
      <c r="W65" s="1"/>
      <c r="X65" s="1"/>
      <c r="Y65" s="1"/>
    </row>
    <row r="66" ht="14.25" customHeight="1">
      <c r="A66" s="1"/>
      <c r="B66" s="754">
        <f t="shared" si="1"/>
        <v>63</v>
      </c>
      <c r="C66" s="754" t="s">
        <v>388</v>
      </c>
      <c r="D66" s="754" t="s">
        <v>237</v>
      </c>
      <c r="E66" s="754"/>
      <c r="F66" s="754"/>
      <c r="G66" s="755" t="s">
        <v>232</v>
      </c>
      <c r="H66" s="755" t="s">
        <v>331</v>
      </c>
      <c r="I66" s="755" t="s">
        <v>351</v>
      </c>
      <c r="J66" s="755" t="s">
        <v>351</v>
      </c>
      <c r="K66" s="754" t="s">
        <v>232</v>
      </c>
      <c r="L66" s="1"/>
      <c r="M66" s="1"/>
      <c r="N66" s="1"/>
      <c r="O66" s="1"/>
      <c r="P66" s="1"/>
      <c r="Q66" s="1"/>
      <c r="R66" s="1"/>
      <c r="S66" s="1"/>
      <c r="T66" s="1"/>
      <c r="U66" s="1"/>
      <c r="V66" s="1"/>
      <c r="W66" s="1"/>
      <c r="X66" s="1"/>
      <c r="Y66" s="1"/>
    </row>
    <row r="67" ht="14.25" customHeight="1">
      <c r="A67" s="1"/>
      <c r="B67" s="754">
        <f t="shared" si="1"/>
        <v>64</v>
      </c>
      <c r="C67" s="754" t="s">
        <v>389</v>
      </c>
      <c r="D67" s="754" t="s">
        <v>237</v>
      </c>
      <c r="E67" s="754"/>
      <c r="F67" s="754"/>
      <c r="G67" s="755" t="s">
        <v>232</v>
      </c>
      <c r="H67" s="755" t="s">
        <v>331</v>
      </c>
      <c r="I67" s="755" t="s">
        <v>351</v>
      </c>
      <c r="J67" s="755" t="s">
        <v>234</v>
      </c>
      <c r="K67" s="754" t="s">
        <v>232</v>
      </c>
      <c r="L67" s="1"/>
      <c r="M67" s="1"/>
      <c r="N67" s="1"/>
      <c r="O67" s="1"/>
      <c r="P67" s="1"/>
      <c r="Q67" s="1"/>
      <c r="R67" s="1"/>
      <c r="S67" s="1"/>
      <c r="T67" s="1"/>
      <c r="U67" s="1"/>
      <c r="V67" s="1"/>
      <c r="W67" s="1"/>
      <c r="X67" s="1"/>
      <c r="Y67" s="1"/>
    </row>
    <row r="68" ht="14.25" customHeight="1">
      <c r="A68" s="1"/>
      <c r="B68" s="754">
        <f t="shared" si="1"/>
        <v>65</v>
      </c>
      <c r="C68" s="754" t="s">
        <v>390</v>
      </c>
      <c r="D68" s="754" t="s">
        <v>237</v>
      </c>
      <c r="E68" s="754"/>
      <c r="F68" s="754"/>
      <c r="G68" s="755" t="s">
        <v>234</v>
      </c>
      <c r="H68" s="755" t="s">
        <v>326</v>
      </c>
      <c r="I68" s="755" t="s">
        <v>234</v>
      </c>
      <c r="J68" s="755" t="s">
        <v>234</v>
      </c>
      <c r="K68" s="754" t="s">
        <v>232</v>
      </c>
      <c r="L68" s="1"/>
      <c r="M68" s="1"/>
      <c r="N68" s="1"/>
      <c r="O68" s="1"/>
      <c r="P68" s="1"/>
      <c r="Q68" s="1"/>
      <c r="R68" s="1"/>
      <c r="S68" s="1"/>
      <c r="T68" s="1"/>
      <c r="U68" s="1"/>
      <c r="V68" s="1"/>
      <c r="W68" s="1"/>
      <c r="X68" s="1"/>
      <c r="Y68" s="1"/>
    </row>
    <row r="69" ht="14.25" customHeight="1">
      <c r="A69" s="1"/>
      <c r="B69" s="754">
        <f t="shared" si="1"/>
        <v>66</v>
      </c>
      <c r="C69" s="754" t="s">
        <v>391</v>
      </c>
      <c r="D69" s="755" t="s">
        <v>236</v>
      </c>
      <c r="E69" s="754"/>
      <c r="F69" s="754"/>
      <c r="G69" s="755" t="s">
        <v>232</v>
      </c>
      <c r="H69" s="755" t="s">
        <v>331</v>
      </c>
      <c r="I69" s="755" t="s">
        <v>234</v>
      </c>
      <c r="J69" s="755" t="s">
        <v>234</v>
      </c>
      <c r="K69" s="754" t="s">
        <v>232</v>
      </c>
      <c r="L69" s="1"/>
      <c r="M69" s="1"/>
      <c r="N69" s="1"/>
      <c r="O69" s="1"/>
      <c r="P69" s="1"/>
      <c r="Q69" s="1"/>
      <c r="R69" s="1"/>
      <c r="S69" s="1"/>
      <c r="T69" s="1"/>
      <c r="U69" s="1"/>
      <c r="V69" s="1"/>
      <c r="W69" s="1"/>
      <c r="X69" s="1"/>
      <c r="Y69" s="1"/>
    </row>
    <row r="70" ht="14.25" customHeight="1">
      <c r="A70" s="1"/>
      <c r="B70" s="754">
        <f t="shared" si="1"/>
        <v>67</v>
      </c>
      <c r="C70" s="754" t="s">
        <v>392</v>
      </c>
      <c r="D70" s="755" t="s">
        <v>236</v>
      </c>
      <c r="E70" s="754"/>
      <c r="F70" s="754"/>
      <c r="G70" s="755" t="s">
        <v>232</v>
      </c>
      <c r="H70" s="755" t="s">
        <v>331</v>
      </c>
      <c r="I70" s="755" t="s">
        <v>234</v>
      </c>
      <c r="J70" s="755" t="s">
        <v>234</v>
      </c>
      <c r="K70" s="754" t="s">
        <v>232</v>
      </c>
      <c r="L70" s="1"/>
      <c r="M70" s="1"/>
      <c r="N70" s="1"/>
      <c r="O70" s="1"/>
      <c r="P70" s="1"/>
      <c r="Q70" s="1"/>
      <c r="R70" s="1"/>
      <c r="S70" s="1"/>
      <c r="T70" s="1"/>
      <c r="U70" s="1"/>
      <c r="V70" s="1"/>
      <c r="W70" s="1"/>
      <c r="X70" s="1"/>
      <c r="Y70" s="1"/>
    </row>
    <row r="71" ht="14.25" customHeight="1">
      <c r="A71" s="1"/>
      <c r="B71" s="140">
        <f t="shared" si="1"/>
        <v>68</v>
      </c>
      <c r="C71" s="140" t="s">
        <v>393</v>
      </c>
      <c r="D71" s="756" t="s">
        <v>236</v>
      </c>
      <c r="E71" s="140"/>
      <c r="F71" s="140"/>
      <c r="G71" s="756" t="s">
        <v>234</v>
      </c>
      <c r="H71" s="756" t="s">
        <v>326</v>
      </c>
      <c r="I71" s="756" t="s">
        <v>234</v>
      </c>
      <c r="J71" s="756" t="s">
        <v>234</v>
      </c>
      <c r="K71" s="754" t="s">
        <v>232</v>
      </c>
      <c r="L71" s="1"/>
      <c r="M71" s="1"/>
      <c r="N71" s="1"/>
      <c r="O71" s="1"/>
      <c r="P71" s="1"/>
      <c r="Q71" s="1"/>
      <c r="R71" s="1"/>
      <c r="S71" s="1"/>
      <c r="T71" s="1"/>
      <c r="U71" s="1"/>
      <c r="V71" s="1"/>
      <c r="W71" s="1"/>
      <c r="X71" s="1"/>
      <c r="Y71" s="1"/>
    </row>
    <row r="72" ht="14.25" customHeight="1">
      <c r="A72" s="1"/>
      <c r="B72" s="757">
        <f t="shared" si="1"/>
        <v>69</v>
      </c>
      <c r="C72" s="757" t="s">
        <v>262</v>
      </c>
      <c r="D72" s="757" t="s">
        <v>253</v>
      </c>
      <c r="E72" s="757"/>
      <c r="F72" s="757"/>
      <c r="G72" s="758" t="s">
        <v>234</v>
      </c>
      <c r="H72" s="758" t="s">
        <v>331</v>
      </c>
      <c r="I72" s="758" t="s">
        <v>232</v>
      </c>
      <c r="J72" s="758" t="s">
        <v>232</v>
      </c>
      <c r="K72" s="754" t="s">
        <v>232</v>
      </c>
      <c r="L72" s="1"/>
      <c r="M72" s="1"/>
      <c r="N72" s="1"/>
      <c r="O72" s="1"/>
      <c r="P72" s="1"/>
      <c r="Q72" s="1"/>
      <c r="R72" s="1"/>
      <c r="S72" s="1"/>
      <c r="T72" s="1"/>
      <c r="U72" s="1"/>
      <c r="V72" s="1"/>
      <c r="W72" s="1"/>
      <c r="X72" s="1"/>
      <c r="Y72" s="1"/>
    </row>
    <row r="73" ht="14.25" customHeight="1">
      <c r="A73" s="1"/>
      <c r="B73" s="754">
        <f t="shared" si="1"/>
        <v>70</v>
      </c>
      <c r="C73" s="754" t="s">
        <v>263</v>
      </c>
      <c r="D73" s="754" t="s">
        <v>253</v>
      </c>
      <c r="E73" s="754"/>
      <c r="F73" s="754"/>
      <c r="G73" s="755" t="s">
        <v>234</v>
      </c>
      <c r="H73" s="755" t="s">
        <v>331</v>
      </c>
      <c r="I73" s="755" t="s">
        <v>232</v>
      </c>
      <c r="J73" s="755" t="s">
        <v>232</v>
      </c>
      <c r="K73" s="754" t="s">
        <v>232</v>
      </c>
      <c r="L73" s="1"/>
      <c r="M73" s="1"/>
      <c r="N73" s="1"/>
      <c r="O73" s="1"/>
      <c r="P73" s="1"/>
      <c r="Q73" s="1"/>
      <c r="R73" s="1"/>
      <c r="S73" s="1"/>
      <c r="T73" s="1"/>
      <c r="U73" s="1"/>
      <c r="V73" s="1"/>
      <c r="W73" s="1"/>
      <c r="X73" s="1"/>
      <c r="Y73" s="1"/>
    </row>
    <row r="74" ht="14.25" customHeight="1">
      <c r="A74" s="1"/>
      <c r="B74" s="754">
        <f t="shared" si="1"/>
        <v>71</v>
      </c>
      <c r="C74" s="754" t="s">
        <v>264</v>
      </c>
      <c r="D74" s="754" t="s">
        <v>253</v>
      </c>
      <c r="E74" s="754"/>
      <c r="F74" s="754"/>
      <c r="G74" s="755" t="s">
        <v>234</v>
      </c>
      <c r="H74" s="755" t="s">
        <v>331</v>
      </c>
      <c r="I74" s="755" t="s">
        <v>232</v>
      </c>
      <c r="J74" s="755" t="s">
        <v>232</v>
      </c>
      <c r="K74" s="754" t="s">
        <v>232</v>
      </c>
      <c r="L74" s="1"/>
      <c r="M74" s="1"/>
      <c r="N74" s="1"/>
      <c r="O74" s="1"/>
      <c r="P74" s="1"/>
      <c r="Q74" s="1"/>
      <c r="R74" s="1"/>
      <c r="S74" s="1"/>
      <c r="T74" s="1"/>
      <c r="U74" s="1"/>
      <c r="V74" s="1"/>
      <c r="W74" s="1"/>
      <c r="X74" s="1"/>
      <c r="Y74" s="1"/>
    </row>
    <row r="75" ht="14.25" customHeight="1">
      <c r="A75" s="1"/>
      <c r="B75" s="754">
        <f t="shared" si="1"/>
        <v>72</v>
      </c>
      <c r="C75" s="754" t="s">
        <v>255</v>
      </c>
      <c r="D75" s="754" t="s">
        <v>253</v>
      </c>
      <c r="E75" s="754"/>
      <c r="F75" s="754"/>
      <c r="G75" s="755" t="s">
        <v>232</v>
      </c>
      <c r="H75" s="755" t="s">
        <v>331</v>
      </c>
      <c r="I75" s="755" t="s">
        <v>232</v>
      </c>
      <c r="J75" s="755" t="s">
        <v>232</v>
      </c>
      <c r="K75" s="754" t="s">
        <v>232</v>
      </c>
      <c r="L75" s="1"/>
      <c r="M75" s="1"/>
      <c r="N75" s="1"/>
      <c r="O75" s="1"/>
      <c r="P75" s="1"/>
      <c r="Q75" s="1"/>
      <c r="R75" s="1"/>
      <c r="S75" s="1"/>
      <c r="T75" s="1"/>
      <c r="U75" s="1"/>
      <c r="V75" s="1"/>
      <c r="W75" s="1"/>
      <c r="X75" s="1"/>
      <c r="Y75" s="1"/>
    </row>
    <row r="76" ht="29.25" customHeight="1">
      <c r="A76" s="1"/>
      <c r="B76" s="754">
        <f t="shared" si="1"/>
        <v>73</v>
      </c>
      <c r="C76" s="754" t="s">
        <v>254</v>
      </c>
      <c r="D76" s="754" t="s">
        <v>253</v>
      </c>
      <c r="E76" s="754"/>
      <c r="F76" s="754"/>
      <c r="G76" s="755" t="s">
        <v>359</v>
      </c>
      <c r="H76" s="755" t="s">
        <v>360</v>
      </c>
      <c r="I76" s="755" t="s">
        <v>232</v>
      </c>
      <c r="J76" s="755" t="s">
        <v>232</v>
      </c>
      <c r="K76" s="754" t="s">
        <v>232</v>
      </c>
      <c r="L76" s="1"/>
      <c r="M76" s="1"/>
      <c r="N76" s="1"/>
      <c r="O76" s="1"/>
      <c r="P76" s="1"/>
      <c r="Q76" s="1"/>
      <c r="R76" s="1"/>
      <c r="S76" s="1"/>
      <c r="T76" s="1"/>
      <c r="U76" s="1"/>
      <c r="V76" s="1"/>
      <c r="W76" s="1"/>
      <c r="X76" s="1"/>
      <c r="Y76" s="1"/>
    </row>
    <row r="77" ht="14.25" customHeight="1">
      <c r="A77" s="1"/>
      <c r="B77" s="754">
        <f t="shared" si="1"/>
        <v>74</v>
      </c>
      <c r="C77" s="754" t="s">
        <v>268</v>
      </c>
      <c r="D77" s="754" t="s">
        <v>253</v>
      </c>
      <c r="E77" s="754"/>
      <c r="F77" s="754"/>
      <c r="G77" s="755" t="s">
        <v>232</v>
      </c>
      <c r="H77" s="755" t="s">
        <v>331</v>
      </c>
      <c r="I77" s="755" t="s">
        <v>232</v>
      </c>
      <c r="J77" s="755" t="s">
        <v>232</v>
      </c>
      <c r="K77" s="754" t="s">
        <v>232</v>
      </c>
      <c r="L77" s="1"/>
      <c r="M77" s="1"/>
      <c r="N77" s="1"/>
      <c r="O77" s="1"/>
      <c r="P77" s="1"/>
      <c r="Q77" s="1"/>
      <c r="R77" s="1"/>
      <c r="S77" s="1"/>
      <c r="T77" s="1"/>
      <c r="U77" s="1"/>
      <c r="V77" s="1"/>
      <c r="W77" s="1"/>
      <c r="X77" s="1"/>
      <c r="Y77" s="1"/>
    </row>
    <row r="78" ht="14.25" customHeight="1">
      <c r="A78" s="1"/>
      <c r="B78" s="754">
        <f t="shared" si="1"/>
        <v>75</v>
      </c>
      <c r="C78" s="754" t="s">
        <v>265</v>
      </c>
      <c r="D78" s="754" t="s">
        <v>253</v>
      </c>
      <c r="E78" s="754"/>
      <c r="F78" s="754"/>
      <c r="G78" s="755" t="s">
        <v>234</v>
      </c>
      <c r="H78" s="755" t="s">
        <v>331</v>
      </c>
      <c r="I78" s="755" t="s">
        <v>232</v>
      </c>
      <c r="J78" s="755" t="s">
        <v>232</v>
      </c>
      <c r="K78" s="754" t="s">
        <v>232</v>
      </c>
      <c r="L78" s="1"/>
      <c r="M78" s="1"/>
      <c r="N78" s="1"/>
      <c r="O78" s="1"/>
      <c r="P78" s="1"/>
      <c r="Q78" s="1"/>
      <c r="R78" s="1"/>
      <c r="S78" s="1"/>
      <c r="T78" s="1"/>
      <c r="U78" s="1"/>
      <c r="V78" s="1"/>
      <c r="W78" s="1"/>
      <c r="X78" s="1"/>
      <c r="Y78" s="1"/>
    </row>
    <row r="79" ht="14.25" customHeight="1">
      <c r="A79" s="1"/>
      <c r="B79" s="754">
        <f t="shared" si="1"/>
        <v>76</v>
      </c>
      <c r="C79" s="754" t="s">
        <v>269</v>
      </c>
      <c r="D79" s="754" t="s">
        <v>253</v>
      </c>
      <c r="E79" s="754"/>
      <c r="F79" s="754"/>
      <c r="G79" s="755" t="s">
        <v>232</v>
      </c>
      <c r="H79" s="755" t="s">
        <v>331</v>
      </c>
      <c r="I79" s="755" t="s">
        <v>232</v>
      </c>
      <c r="J79" s="755" t="s">
        <v>232</v>
      </c>
      <c r="K79" s="754" t="s">
        <v>232</v>
      </c>
      <c r="L79" s="1"/>
      <c r="M79" s="1"/>
      <c r="N79" s="1"/>
      <c r="O79" s="1"/>
      <c r="P79" s="1"/>
      <c r="Q79" s="1"/>
      <c r="R79" s="1"/>
      <c r="S79" s="1"/>
      <c r="T79" s="1"/>
      <c r="U79" s="1"/>
      <c r="V79" s="1"/>
      <c r="W79" s="1"/>
      <c r="X79" s="1"/>
      <c r="Y79" s="1"/>
    </row>
    <row r="80" ht="14.25" customHeight="1">
      <c r="A80" s="1"/>
      <c r="B80" s="140">
        <f t="shared" si="1"/>
        <v>77</v>
      </c>
      <c r="C80" s="140" t="s">
        <v>266</v>
      </c>
      <c r="D80" s="140" t="s">
        <v>253</v>
      </c>
      <c r="E80" s="140"/>
      <c r="F80" s="140"/>
      <c r="G80" s="756" t="s">
        <v>234</v>
      </c>
      <c r="H80" s="756" t="s">
        <v>331</v>
      </c>
      <c r="I80" s="756" t="s">
        <v>232</v>
      </c>
      <c r="J80" s="756" t="s">
        <v>232</v>
      </c>
      <c r="K80" s="754" t="s">
        <v>232</v>
      </c>
      <c r="L80" s="1"/>
      <c r="M80" s="1"/>
      <c r="N80" s="1"/>
      <c r="O80" s="1"/>
      <c r="P80" s="1"/>
      <c r="Q80" s="1"/>
      <c r="R80" s="1"/>
      <c r="S80" s="1"/>
      <c r="T80" s="1"/>
      <c r="U80" s="1"/>
      <c r="V80" s="1"/>
      <c r="W80" s="1"/>
      <c r="X80" s="1"/>
      <c r="Y80" s="1"/>
    </row>
    <row r="81" ht="14.25" customHeight="1">
      <c r="A81" s="1"/>
      <c r="B81" s="759">
        <f t="shared" si="1"/>
        <v>78</v>
      </c>
      <c r="C81" s="759" t="s">
        <v>288</v>
      </c>
      <c r="D81" s="759" t="s">
        <v>394</v>
      </c>
      <c r="E81" s="759"/>
      <c r="F81" s="759"/>
      <c r="G81" s="759" t="s">
        <v>234</v>
      </c>
      <c r="H81" s="760" t="s">
        <v>395</v>
      </c>
      <c r="I81" s="759" t="s">
        <v>234</v>
      </c>
      <c r="J81" s="761" t="s">
        <v>232</v>
      </c>
      <c r="K81" s="754" t="s">
        <v>232</v>
      </c>
      <c r="L81" s="1"/>
      <c r="M81" s="1"/>
      <c r="N81" s="1"/>
      <c r="O81" s="1"/>
      <c r="P81" s="1"/>
      <c r="Q81" s="1"/>
      <c r="R81" s="1"/>
      <c r="S81" s="1"/>
      <c r="T81" s="1"/>
      <c r="U81" s="1"/>
      <c r="V81" s="1"/>
      <c r="W81" s="1"/>
      <c r="X81" s="1"/>
      <c r="Y81" s="1"/>
    </row>
    <row r="82" ht="14.25" customHeight="1">
      <c r="A82" s="1"/>
      <c r="B82" s="754">
        <f t="shared" si="1"/>
        <v>79</v>
      </c>
      <c r="C82" s="754" t="s">
        <v>287</v>
      </c>
      <c r="D82" s="754" t="s">
        <v>394</v>
      </c>
      <c r="E82" s="754"/>
      <c r="F82" s="754"/>
      <c r="G82" s="754" t="s">
        <v>234</v>
      </c>
      <c r="H82" s="755" t="s">
        <v>395</v>
      </c>
      <c r="I82" s="754" t="s">
        <v>234</v>
      </c>
      <c r="J82" s="755" t="s">
        <v>232</v>
      </c>
      <c r="K82" s="754" t="s">
        <v>232</v>
      </c>
      <c r="L82" s="1"/>
      <c r="M82" s="1"/>
      <c r="N82" s="1"/>
      <c r="O82" s="1"/>
      <c r="P82" s="1"/>
      <c r="Q82" s="1"/>
      <c r="R82" s="1"/>
      <c r="S82" s="1"/>
      <c r="T82" s="1"/>
      <c r="U82" s="1"/>
      <c r="V82" s="1"/>
      <c r="W82" s="1"/>
      <c r="X82" s="1"/>
      <c r="Y82" s="1"/>
    </row>
    <row r="83" ht="30.75" customHeight="1">
      <c r="A83" s="1"/>
      <c r="B83" s="140">
        <f t="shared" si="1"/>
        <v>80</v>
      </c>
      <c r="C83" s="140" t="s">
        <v>289</v>
      </c>
      <c r="D83" s="140" t="s">
        <v>394</v>
      </c>
      <c r="E83" s="140"/>
      <c r="F83" s="140"/>
      <c r="G83" s="140" t="s">
        <v>232</v>
      </c>
      <c r="H83" s="762" t="s">
        <v>396</v>
      </c>
      <c r="I83" s="140" t="s">
        <v>234</v>
      </c>
      <c r="J83" s="756" t="s">
        <v>397</v>
      </c>
      <c r="K83" s="754" t="s">
        <v>232</v>
      </c>
      <c r="L83" s="1"/>
      <c r="M83" s="1"/>
      <c r="N83" s="1"/>
      <c r="O83" s="1"/>
      <c r="P83" s="1"/>
      <c r="Q83" s="1"/>
      <c r="R83" s="1"/>
      <c r="S83" s="1"/>
      <c r="T83" s="1"/>
      <c r="U83" s="1"/>
      <c r="V83" s="1"/>
      <c r="W83" s="1"/>
      <c r="X83" s="1"/>
      <c r="Y83" s="1"/>
    </row>
    <row r="84" ht="14.25" customHeight="1">
      <c r="A84" s="1"/>
      <c r="B84" s="757">
        <f t="shared" si="1"/>
        <v>81</v>
      </c>
      <c r="C84" s="757"/>
      <c r="D84" s="757"/>
      <c r="E84" s="763"/>
      <c r="F84" s="763"/>
      <c r="G84" s="757"/>
      <c r="H84" s="758"/>
      <c r="I84" s="763"/>
      <c r="J84" s="763"/>
      <c r="K84" s="754" t="s">
        <v>232</v>
      </c>
      <c r="L84" s="1"/>
      <c r="M84" s="1"/>
      <c r="N84" s="1"/>
      <c r="O84" s="1"/>
      <c r="P84" s="1"/>
      <c r="Q84" s="1"/>
      <c r="R84" s="1"/>
      <c r="S84" s="1"/>
      <c r="T84" s="1"/>
      <c r="U84" s="1"/>
      <c r="V84" s="1"/>
      <c r="W84" s="1"/>
      <c r="X84" s="1"/>
      <c r="Y84" s="1"/>
    </row>
    <row r="85" ht="14.25" customHeight="1">
      <c r="A85" s="1"/>
      <c r="B85" s="754">
        <f t="shared" si="1"/>
        <v>82</v>
      </c>
      <c r="C85" s="764"/>
      <c r="D85" s="754"/>
      <c r="E85" s="764"/>
      <c r="F85" s="764"/>
      <c r="G85" s="754"/>
      <c r="H85" s="755"/>
      <c r="I85" s="764"/>
      <c r="J85" s="764"/>
      <c r="K85" s="754"/>
      <c r="L85" s="1"/>
      <c r="M85" s="1"/>
      <c r="N85" s="1"/>
      <c r="O85" s="1"/>
      <c r="P85" s="1"/>
      <c r="Q85" s="1"/>
      <c r="R85" s="1"/>
      <c r="S85" s="1"/>
      <c r="T85" s="1"/>
      <c r="U85" s="1"/>
      <c r="V85" s="1"/>
      <c r="W85" s="1"/>
      <c r="X85" s="1"/>
      <c r="Y85" s="1"/>
    </row>
    <row r="86" ht="14.25" customHeight="1">
      <c r="A86" s="1"/>
      <c r="B86" s="754">
        <f t="shared" si="1"/>
        <v>83</v>
      </c>
      <c r="C86" s="764"/>
      <c r="D86" s="754"/>
      <c r="E86" s="764"/>
      <c r="F86" s="764"/>
      <c r="G86" s="754"/>
      <c r="H86" s="755"/>
      <c r="I86" s="764"/>
      <c r="J86" s="764"/>
      <c r="K86" s="754"/>
      <c r="L86" s="1"/>
      <c r="M86" s="1"/>
      <c r="N86" s="1"/>
      <c r="O86" s="1"/>
      <c r="P86" s="1"/>
      <c r="Q86" s="1"/>
      <c r="R86" s="1"/>
      <c r="S86" s="1"/>
      <c r="T86" s="1"/>
      <c r="U86" s="1"/>
      <c r="V86" s="1"/>
      <c r="W86" s="1"/>
      <c r="X86" s="1"/>
      <c r="Y86" s="1"/>
    </row>
    <row r="87" ht="14.25" customHeight="1">
      <c r="A87" s="1"/>
      <c r="B87" s="754">
        <f t="shared" si="1"/>
        <v>84</v>
      </c>
      <c r="C87" s="764"/>
      <c r="D87" s="754"/>
      <c r="E87" s="764"/>
      <c r="F87" s="764"/>
      <c r="G87" s="754"/>
      <c r="H87" s="755"/>
      <c r="I87" s="764"/>
      <c r="J87" s="764"/>
      <c r="K87" s="754"/>
      <c r="L87" s="1"/>
      <c r="M87" s="1"/>
      <c r="N87" s="1"/>
      <c r="O87" s="1"/>
      <c r="P87" s="1"/>
      <c r="Q87" s="1"/>
      <c r="R87" s="1"/>
      <c r="S87" s="1"/>
      <c r="T87" s="1"/>
      <c r="U87" s="1"/>
      <c r="V87" s="1"/>
      <c r="W87" s="1"/>
      <c r="X87" s="1"/>
      <c r="Y87" s="1"/>
    </row>
    <row r="88" ht="14.25" customHeight="1">
      <c r="A88" s="1"/>
      <c r="B88" s="754">
        <f t="shared" si="1"/>
        <v>85</v>
      </c>
      <c r="C88" s="764"/>
      <c r="D88" s="754"/>
      <c r="E88" s="764"/>
      <c r="F88" s="764"/>
      <c r="G88" s="754"/>
      <c r="H88" s="755"/>
      <c r="I88" s="764"/>
      <c r="J88" s="764"/>
      <c r="K88" s="754"/>
      <c r="L88" s="1"/>
      <c r="M88" s="1"/>
      <c r="N88" s="1"/>
      <c r="O88" s="1"/>
      <c r="P88" s="1"/>
      <c r="Q88" s="1"/>
      <c r="R88" s="1"/>
      <c r="S88" s="1"/>
      <c r="T88" s="1"/>
      <c r="U88" s="1"/>
      <c r="V88" s="1"/>
      <c r="W88" s="1"/>
      <c r="X88" s="1"/>
      <c r="Y88" s="1"/>
    </row>
    <row r="89" ht="14.25" customHeight="1">
      <c r="A89" s="1"/>
      <c r="B89" s="754">
        <f t="shared" si="1"/>
        <v>86</v>
      </c>
      <c r="C89" s="764"/>
      <c r="D89" s="754"/>
      <c r="E89" s="764"/>
      <c r="F89" s="764"/>
      <c r="G89" s="754"/>
      <c r="H89" s="755"/>
      <c r="I89" s="764"/>
      <c r="J89" s="764"/>
      <c r="K89" s="754"/>
      <c r="L89" s="1"/>
      <c r="M89" s="1"/>
      <c r="N89" s="1"/>
      <c r="O89" s="1"/>
      <c r="P89" s="1"/>
      <c r="Q89" s="1"/>
      <c r="R89" s="1"/>
      <c r="S89" s="1"/>
      <c r="T89" s="1"/>
      <c r="U89" s="1"/>
      <c r="V89" s="1"/>
      <c r="W89" s="1"/>
      <c r="X89" s="1"/>
      <c r="Y89" s="1"/>
    </row>
    <row r="90" ht="14.25" customHeight="1">
      <c r="A90" s="1"/>
      <c r="B90" s="754">
        <f t="shared" si="1"/>
        <v>87</v>
      </c>
      <c r="C90" s="764"/>
      <c r="D90" s="754"/>
      <c r="E90" s="764"/>
      <c r="F90" s="764"/>
      <c r="G90" s="754"/>
      <c r="H90" s="755"/>
      <c r="I90" s="764"/>
      <c r="J90" s="764"/>
      <c r="K90" s="754"/>
      <c r="L90" s="1"/>
      <c r="M90" s="1"/>
      <c r="N90" s="1"/>
      <c r="O90" s="1"/>
      <c r="P90" s="1"/>
      <c r="Q90" s="1"/>
      <c r="R90" s="1"/>
      <c r="S90" s="1"/>
      <c r="T90" s="1"/>
      <c r="U90" s="1"/>
      <c r="V90" s="1"/>
      <c r="W90" s="1"/>
      <c r="X90" s="1"/>
      <c r="Y90" s="1"/>
    </row>
    <row r="91" ht="14.25" customHeight="1">
      <c r="A91" s="1"/>
      <c r="B91" s="754">
        <f t="shared" si="1"/>
        <v>88</v>
      </c>
      <c r="C91" s="764"/>
      <c r="D91" s="754"/>
      <c r="E91" s="764"/>
      <c r="F91" s="764"/>
      <c r="G91" s="754"/>
      <c r="H91" s="755"/>
      <c r="I91" s="764"/>
      <c r="J91" s="764"/>
      <c r="K91" s="754"/>
      <c r="L91" s="1"/>
      <c r="M91" s="1"/>
      <c r="N91" s="1"/>
      <c r="O91" s="1"/>
      <c r="P91" s="1"/>
      <c r="Q91" s="1"/>
      <c r="R91" s="1"/>
      <c r="S91" s="1"/>
      <c r="T91" s="1"/>
      <c r="U91" s="1"/>
      <c r="V91" s="1"/>
      <c r="W91" s="1"/>
      <c r="X91" s="1"/>
      <c r="Y91" s="1"/>
    </row>
    <row r="92" ht="14.25" customHeight="1">
      <c r="A92" s="1"/>
      <c r="B92" s="754">
        <f t="shared" si="1"/>
        <v>89</v>
      </c>
      <c r="C92" s="764"/>
      <c r="D92" s="754"/>
      <c r="E92" s="764"/>
      <c r="F92" s="764"/>
      <c r="G92" s="754"/>
      <c r="H92" s="755"/>
      <c r="I92" s="764"/>
      <c r="J92" s="764"/>
      <c r="K92" s="754"/>
      <c r="L92" s="1"/>
      <c r="M92" s="1"/>
      <c r="N92" s="1"/>
      <c r="O92" s="1"/>
      <c r="P92" s="1"/>
      <c r="Q92" s="1"/>
      <c r="R92" s="1"/>
      <c r="S92" s="1"/>
      <c r="T92" s="1"/>
      <c r="U92" s="1"/>
      <c r="V92" s="1"/>
      <c r="W92" s="1"/>
      <c r="X92" s="1"/>
      <c r="Y92" s="1"/>
    </row>
    <row r="93" ht="14.25" customHeight="1">
      <c r="A93" s="1"/>
      <c r="B93" s="754">
        <f t="shared" si="1"/>
        <v>90</v>
      </c>
      <c r="C93" s="764"/>
      <c r="D93" s="754"/>
      <c r="E93" s="764"/>
      <c r="F93" s="764"/>
      <c r="G93" s="754"/>
      <c r="H93" s="755"/>
      <c r="I93" s="764"/>
      <c r="J93" s="764"/>
      <c r="K93" s="754"/>
      <c r="L93" s="1"/>
      <c r="M93" s="1"/>
      <c r="N93" s="1"/>
      <c r="O93" s="1"/>
      <c r="P93" s="1"/>
      <c r="Q93" s="1"/>
      <c r="R93" s="1"/>
      <c r="S93" s="1"/>
      <c r="T93" s="1"/>
      <c r="U93" s="1"/>
      <c r="V93" s="1"/>
      <c r="W93" s="1"/>
      <c r="X93" s="1"/>
      <c r="Y93" s="1"/>
    </row>
    <row r="94" ht="14.25" customHeight="1">
      <c r="A94" s="1"/>
      <c r="B94" s="754">
        <f t="shared" si="1"/>
        <v>91</v>
      </c>
      <c r="C94" s="764"/>
      <c r="D94" s="754"/>
      <c r="E94" s="764"/>
      <c r="F94" s="764"/>
      <c r="G94" s="754"/>
      <c r="H94" s="755"/>
      <c r="I94" s="764"/>
      <c r="J94" s="764"/>
      <c r="K94" s="754"/>
      <c r="L94" s="1"/>
      <c r="M94" s="1"/>
      <c r="N94" s="1"/>
      <c r="O94" s="1"/>
      <c r="P94" s="1"/>
      <c r="Q94" s="1"/>
      <c r="R94" s="1"/>
      <c r="S94" s="1"/>
      <c r="T94" s="1"/>
      <c r="U94" s="1"/>
      <c r="V94" s="1"/>
      <c r="W94" s="1"/>
      <c r="X94" s="1"/>
      <c r="Y94" s="1"/>
    </row>
    <row r="95" ht="14.25" customHeight="1">
      <c r="A95" s="1"/>
      <c r="B95" s="754">
        <f t="shared" si="1"/>
        <v>92</v>
      </c>
      <c r="C95" s="764"/>
      <c r="D95" s="754"/>
      <c r="E95" s="764"/>
      <c r="F95" s="764"/>
      <c r="G95" s="754"/>
      <c r="H95" s="755"/>
      <c r="I95" s="764"/>
      <c r="J95" s="764"/>
      <c r="K95" s="754"/>
      <c r="L95" s="1"/>
      <c r="M95" s="1"/>
      <c r="N95" s="1"/>
      <c r="O95" s="1"/>
      <c r="P95" s="1"/>
      <c r="Q95" s="1"/>
      <c r="R95" s="1"/>
      <c r="S95" s="1"/>
      <c r="T95" s="1"/>
      <c r="U95" s="1"/>
      <c r="V95" s="1"/>
      <c r="W95" s="1"/>
      <c r="X95" s="1"/>
      <c r="Y95" s="1"/>
    </row>
    <row r="96" ht="14.25" customHeight="1">
      <c r="A96" s="1"/>
      <c r="B96" s="754">
        <f t="shared" si="1"/>
        <v>93</v>
      </c>
      <c r="C96" s="764"/>
      <c r="D96" s="754"/>
      <c r="E96" s="764"/>
      <c r="F96" s="764"/>
      <c r="G96" s="754"/>
      <c r="H96" s="755"/>
      <c r="I96" s="764"/>
      <c r="J96" s="764"/>
      <c r="K96" s="754"/>
      <c r="L96" s="1"/>
      <c r="M96" s="1"/>
      <c r="N96" s="1"/>
      <c r="O96" s="1"/>
      <c r="P96" s="1"/>
      <c r="Q96" s="1"/>
      <c r="R96" s="1"/>
      <c r="S96" s="1"/>
      <c r="T96" s="1"/>
      <c r="U96" s="1"/>
      <c r="V96" s="1"/>
      <c r="W96" s="1"/>
      <c r="X96" s="1"/>
      <c r="Y96" s="1"/>
    </row>
    <row r="97" ht="14.25" customHeight="1">
      <c r="A97" s="1"/>
      <c r="B97" s="754">
        <f t="shared" si="1"/>
        <v>94</v>
      </c>
      <c r="C97" s="764"/>
      <c r="D97" s="754"/>
      <c r="E97" s="764"/>
      <c r="F97" s="764"/>
      <c r="G97" s="754"/>
      <c r="H97" s="755"/>
      <c r="I97" s="764"/>
      <c r="J97" s="764"/>
      <c r="K97" s="754"/>
      <c r="L97" s="1"/>
      <c r="M97" s="1"/>
      <c r="N97" s="1"/>
      <c r="O97" s="1"/>
      <c r="P97" s="1"/>
      <c r="Q97" s="1"/>
      <c r="R97" s="1"/>
      <c r="S97" s="1"/>
      <c r="T97" s="1"/>
      <c r="U97" s="1"/>
      <c r="V97" s="1"/>
      <c r="W97" s="1"/>
      <c r="X97" s="1"/>
      <c r="Y97" s="1"/>
    </row>
    <row r="98" ht="14.25" customHeight="1">
      <c r="A98" s="1"/>
      <c r="B98" s="754">
        <f t="shared" si="1"/>
        <v>95</v>
      </c>
      <c r="C98" s="764"/>
      <c r="D98" s="754"/>
      <c r="E98" s="764"/>
      <c r="F98" s="764"/>
      <c r="G98" s="754"/>
      <c r="H98" s="755"/>
      <c r="I98" s="764"/>
      <c r="J98" s="764"/>
      <c r="K98" s="754"/>
      <c r="L98" s="1"/>
      <c r="M98" s="1"/>
      <c r="N98" s="1"/>
      <c r="O98" s="1"/>
      <c r="P98" s="1"/>
      <c r="Q98" s="1"/>
      <c r="R98" s="1"/>
      <c r="S98" s="1"/>
      <c r="T98" s="1"/>
      <c r="U98" s="1"/>
      <c r="V98" s="1"/>
      <c r="W98" s="1"/>
      <c r="X98" s="1"/>
      <c r="Y98" s="1"/>
    </row>
    <row r="99" ht="14.25" customHeight="1">
      <c r="A99" s="1"/>
      <c r="B99" s="754">
        <f t="shared" si="1"/>
        <v>96</v>
      </c>
      <c r="C99" s="764"/>
      <c r="D99" s="754"/>
      <c r="E99" s="764"/>
      <c r="F99" s="764"/>
      <c r="G99" s="754"/>
      <c r="H99" s="755"/>
      <c r="I99" s="764"/>
      <c r="J99" s="764"/>
      <c r="K99" s="754"/>
      <c r="L99" s="1"/>
      <c r="M99" s="1"/>
      <c r="N99" s="1"/>
      <c r="O99" s="1"/>
      <c r="P99" s="1"/>
      <c r="Q99" s="1"/>
      <c r="R99" s="1"/>
      <c r="S99" s="1"/>
      <c r="T99" s="1"/>
      <c r="U99" s="1"/>
      <c r="V99" s="1"/>
      <c r="W99" s="1"/>
      <c r="X99" s="1"/>
      <c r="Y99" s="1"/>
    </row>
    <row r="100" ht="14.25" customHeight="1">
      <c r="A100" s="1"/>
      <c r="B100" s="754">
        <f t="shared" si="1"/>
        <v>97</v>
      </c>
      <c r="C100" s="764"/>
      <c r="D100" s="754"/>
      <c r="E100" s="764"/>
      <c r="F100" s="764"/>
      <c r="G100" s="754"/>
      <c r="H100" s="755"/>
      <c r="I100" s="764"/>
      <c r="J100" s="764"/>
      <c r="K100" s="754"/>
      <c r="L100" s="1"/>
      <c r="M100" s="1"/>
      <c r="N100" s="1"/>
      <c r="O100" s="1"/>
      <c r="P100" s="1"/>
      <c r="Q100" s="1"/>
      <c r="R100" s="1"/>
      <c r="S100" s="1"/>
      <c r="T100" s="1"/>
      <c r="U100" s="1"/>
      <c r="V100" s="1"/>
      <c r="W100" s="1"/>
      <c r="X100" s="1"/>
      <c r="Y100" s="1"/>
    </row>
    <row r="101" ht="14.25" customHeight="1">
      <c r="A101" s="1"/>
      <c r="B101" s="754">
        <f t="shared" si="1"/>
        <v>98</v>
      </c>
      <c r="C101" s="764"/>
      <c r="D101" s="754"/>
      <c r="E101" s="764"/>
      <c r="F101" s="764"/>
      <c r="G101" s="754"/>
      <c r="H101" s="755"/>
      <c r="I101" s="764"/>
      <c r="J101" s="764"/>
      <c r="K101" s="754"/>
      <c r="L101" s="1"/>
      <c r="M101" s="1"/>
      <c r="N101" s="1"/>
      <c r="O101" s="1"/>
      <c r="P101" s="1"/>
      <c r="Q101" s="1"/>
      <c r="R101" s="1"/>
      <c r="S101" s="1"/>
      <c r="T101" s="1"/>
      <c r="U101" s="1"/>
      <c r="V101" s="1"/>
      <c r="W101" s="1"/>
      <c r="X101" s="1"/>
      <c r="Y101" s="1"/>
    </row>
    <row r="102" ht="14.25" customHeight="1">
      <c r="A102" s="1"/>
      <c r="B102" s="754">
        <f t="shared" si="1"/>
        <v>99</v>
      </c>
      <c r="D102" s="765"/>
      <c r="G102" s="765"/>
      <c r="H102" s="766"/>
      <c r="K102" s="754"/>
      <c r="L102" s="1"/>
      <c r="M102" s="1"/>
      <c r="N102" s="1"/>
      <c r="O102" s="1"/>
      <c r="P102" s="1"/>
      <c r="Q102" s="1"/>
      <c r="R102" s="1"/>
      <c r="S102" s="1"/>
      <c r="T102" s="1"/>
      <c r="U102" s="1"/>
      <c r="V102" s="1"/>
      <c r="W102" s="1"/>
      <c r="X102" s="1"/>
      <c r="Y102" s="1"/>
    </row>
    <row r="103" ht="14.25" customHeight="1">
      <c r="A103" s="1"/>
      <c r="B103" s="175"/>
      <c r="C103" s="175"/>
      <c r="D103" s="175"/>
      <c r="E103" s="175"/>
      <c r="F103" s="175"/>
      <c r="G103" s="175"/>
      <c r="H103" s="175"/>
      <c r="I103" s="175"/>
      <c r="J103" s="175"/>
      <c r="K103" s="1"/>
      <c r="L103" s="1"/>
      <c r="M103" s="1"/>
      <c r="N103" s="1"/>
      <c r="O103" s="1"/>
      <c r="P103" s="1"/>
      <c r="Q103" s="1"/>
      <c r="R103" s="1"/>
      <c r="S103" s="1"/>
      <c r="T103" s="1"/>
      <c r="U103" s="1"/>
      <c r="V103" s="1"/>
      <c r="W103" s="1"/>
      <c r="X103" s="1"/>
      <c r="Y103" s="1"/>
    </row>
    <row r="104" ht="14.25" customHeight="1">
      <c r="A104" s="1"/>
      <c r="B104" s="175"/>
      <c r="C104" s="175"/>
      <c r="D104" s="175"/>
      <c r="E104" s="175"/>
      <c r="F104" s="175"/>
      <c r="G104" s="175"/>
      <c r="H104" s="175"/>
      <c r="I104" s="175"/>
      <c r="J104" s="175"/>
      <c r="K104" s="1"/>
      <c r="L104" s="1"/>
      <c r="M104" s="1"/>
      <c r="N104" s="1"/>
      <c r="O104" s="1"/>
      <c r="P104" s="1"/>
      <c r="Q104" s="1"/>
      <c r="R104" s="1"/>
      <c r="S104" s="1"/>
      <c r="T104" s="1"/>
      <c r="U104" s="1"/>
      <c r="V104" s="1"/>
      <c r="W104" s="1"/>
      <c r="X104" s="1"/>
      <c r="Y104" s="1"/>
    </row>
    <row r="105" ht="14.25" customHeight="1">
      <c r="A105" s="1"/>
      <c r="B105" s="175"/>
      <c r="C105" s="175"/>
      <c r="D105" s="175"/>
      <c r="E105" s="175"/>
      <c r="F105" s="175"/>
      <c r="G105" s="175"/>
      <c r="H105" s="175"/>
      <c r="I105" s="175"/>
      <c r="J105" s="175"/>
      <c r="K105" s="1"/>
      <c r="L105" s="1"/>
      <c r="M105" s="1"/>
      <c r="N105" s="1"/>
      <c r="O105" s="1"/>
      <c r="P105" s="1"/>
      <c r="Q105" s="1"/>
      <c r="R105" s="1"/>
      <c r="S105" s="1"/>
      <c r="T105" s="1"/>
      <c r="U105" s="1"/>
      <c r="V105" s="1"/>
      <c r="W105" s="1"/>
      <c r="X105" s="1"/>
      <c r="Y105" s="1"/>
    </row>
    <row r="106" ht="14.25" customHeight="1">
      <c r="A106" s="1"/>
      <c r="B106" s="175"/>
      <c r="C106" s="175"/>
      <c r="D106" s="175"/>
      <c r="E106" s="175"/>
      <c r="F106" s="175"/>
      <c r="G106" s="175"/>
      <c r="H106" s="175"/>
      <c r="I106" s="175"/>
      <c r="J106" s="175"/>
      <c r="K106" s="1"/>
      <c r="L106" s="1"/>
      <c r="M106" s="1"/>
      <c r="N106" s="1"/>
      <c r="O106" s="1"/>
      <c r="P106" s="1"/>
      <c r="Q106" s="1"/>
      <c r="R106" s="1"/>
      <c r="S106" s="1"/>
      <c r="T106" s="1"/>
      <c r="U106" s="1"/>
      <c r="V106" s="1"/>
      <c r="W106" s="1"/>
      <c r="X106" s="1"/>
      <c r="Y106" s="1"/>
    </row>
    <row r="107" ht="14.25" customHeight="1">
      <c r="A107" s="1"/>
      <c r="B107" s="1"/>
      <c r="C107" s="1"/>
      <c r="D107" s="767"/>
      <c r="E107" s="1"/>
      <c r="F107" s="1"/>
      <c r="G107" s="767"/>
      <c r="H107" s="213"/>
      <c r="I107" s="1"/>
      <c r="J107" s="1"/>
      <c r="K107" s="1"/>
      <c r="L107" s="1"/>
      <c r="M107" s="1"/>
      <c r="N107" s="1"/>
      <c r="O107" s="1"/>
      <c r="P107" s="1"/>
      <c r="Q107" s="1"/>
      <c r="R107" s="1"/>
      <c r="S107" s="1"/>
      <c r="T107" s="1"/>
      <c r="U107" s="1"/>
      <c r="V107" s="1"/>
      <c r="W107" s="1"/>
      <c r="X107" s="1"/>
      <c r="Y107" s="1"/>
    </row>
    <row r="108" ht="14.25" customHeight="1">
      <c r="A108" s="1"/>
      <c r="B108" s="1"/>
      <c r="C108" s="1"/>
      <c r="D108" s="767"/>
      <c r="E108" s="1"/>
      <c r="F108" s="1"/>
      <c r="G108" s="767"/>
      <c r="H108" s="213"/>
      <c r="I108" s="1"/>
      <c r="J108" s="1"/>
      <c r="K108" s="1"/>
      <c r="L108" s="1"/>
      <c r="M108" s="1"/>
      <c r="N108" s="1"/>
      <c r="O108" s="1"/>
      <c r="P108" s="1"/>
      <c r="Q108" s="1"/>
      <c r="R108" s="1"/>
      <c r="S108" s="1"/>
      <c r="T108" s="1"/>
      <c r="U108" s="1"/>
      <c r="V108" s="1"/>
      <c r="W108" s="1"/>
      <c r="X108" s="1"/>
      <c r="Y108" s="1"/>
    </row>
    <row r="109" ht="14.25" customHeight="1">
      <c r="A109" s="1"/>
      <c r="B109" s="1"/>
      <c r="C109" s="1"/>
      <c r="D109" s="767"/>
      <c r="E109" s="1"/>
      <c r="F109" s="1"/>
      <c r="G109" s="767"/>
      <c r="H109" s="213"/>
      <c r="I109" s="1"/>
      <c r="J109" s="1"/>
      <c r="K109" s="1"/>
      <c r="L109" s="1"/>
      <c r="M109" s="1"/>
      <c r="N109" s="1"/>
      <c r="O109" s="1"/>
      <c r="P109" s="1"/>
      <c r="Q109" s="1"/>
      <c r="R109" s="1"/>
      <c r="S109" s="1"/>
      <c r="T109" s="1"/>
      <c r="U109" s="1"/>
      <c r="V109" s="1"/>
      <c r="W109" s="1"/>
      <c r="X109" s="1"/>
      <c r="Y109" s="1"/>
    </row>
    <row r="110" ht="14.25" customHeight="1">
      <c r="A110" s="1"/>
      <c r="C110" s="1"/>
      <c r="D110" s="767"/>
      <c r="E110" s="1"/>
      <c r="F110" s="1"/>
      <c r="G110" s="767"/>
      <c r="H110" s="213"/>
      <c r="I110" s="1"/>
      <c r="J110" s="1"/>
      <c r="K110" s="1"/>
      <c r="L110" s="1"/>
      <c r="M110" s="1"/>
      <c r="N110" s="1"/>
      <c r="O110" s="1"/>
      <c r="P110" s="1"/>
      <c r="Q110" s="1"/>
      <c r="R110" s="1"/>
      <c r="S110" s="1"/>
      <c r="T110" s="1"/>
      <c r="U110" s="1"/>
      <c r="V110" s="1"/>
      <c r="W110" s="1"/>
      <c r="X110" s="1"/>
      <c r="Y110" s="1"/>
    </row>
    <row r="111" ht="14.25" customHeight="1">
      <c r="D111" s="765"/>
      <c r="G111" s="765"/>
      <c r="H111" s="766"/>
    </row>
    <row r="112" ht="14.25" customHeight="1">
      <c r="D112" s="765"/>
      <c r="G112" s="765"/>
      <c r="H112" s="766"/>
    </row>
    <row r="113" ht="14.25" customHeight="1">
      <c r="D113" s="765"/>
      <c r="G113" s="765"/>
      <c r="H113" s="766"/>
    </row>
    <row r="114" ht="14.25" customHeight="1">
      <c r="D114" s="765"/>
      <c r="G114" s="765"/>
      <c r="H114" s="766"/>
    </row>
    <row r="115" ht="14.25" customHeight="1">
      <c r="D115" s="765"/>
      <c r="G115" s="765"/>
      <c r="H115" s="766"/>
    </row>
    <row r="116" ht="14.25" customHeight="1">
      <c r="D116" s="765"/>
      <c r="G116" s="765"/>
      <c r="H116" s="766"/>
    </row>
    <row r="117" ht="14.25" customHeight="1">
      <c r="D117" s="765"/>
      <c r="G117" s="765"/>
      <c r="H117" s="766"/>
    </row>
    <row r="118" ht="14.25" customHeight="1">
      <c r="D118" s="765"/>
      <c r="G118" s="765"/>
      <c r="H118" s="766"/>
    </row>
    <row r="119" ht="14.25" customHeight="1">
      <c r="D119" s="765"/>
      <c r="G119" s="765"/>
      <c r="H119" s="766"/>
    </row>
    <row r="120" ht="14.25" customHeight="1">
      <c r="D120" s="765"/>
      <c r="G120" s="765"/>
      <c r="H120" s="766"/>
    </row>
    <row r="121" ht="14.25" customHeight="1">
      <c r="D121" s="765"/>
      <c r="G121" s="765"/>
      <c r="H121" s="766"/>
    </row>
    <row r="122" ht="14.25" customHeight="1">
      <c r="D122" s="765"/>
      <c r="G122" s="765"/>
      <c r="H122" s="766"/>
    </row>
    <row r="123" ht="14.25" customHeight="1">
      <c r="D123" s="765"/>
      <c r="G123" s="765"/>
      <c r="H123" s="766"/>
    </row>
    <row r="124" ht="14.25" customHeight="1">
      <c r="D124" s="765"/>
      <c r="G124" s="765"/>
      <c r="H124" s="766"/>
    </row>
    <row r="125" ht="14.25" customHeight="1">
      <c r="D125" s="765"/>
      <c r="G125" s="765"/>
      <c r="H125" s="766"/>
    </row>
    <row r="126" ht="14.25" customHeight="1">
      <c r="D126" s="765"/>
      <c r="G126" s="765"/>
      <c r="H126" s="766"/>
    </row>
    <row r="127" ht="14.25" customHeight="1">
      <c r="D127" s="765"/>
      <c r="G127" s="765"/>
      <c r="H127" s="766"/>
    </row>
    <row r="128" ht="14.25" customHeight="1">
      <c r="D128" s="765"/>
      <c r="G128" s="765"/>
      <c r="H128" s="766"/>
    </row>
    <row r="129" ht="14.25" customHeight="1">
      <c r="D129" s="765"/>
      <c r="G129" s="765"/>
      <c r="H129" s="766"/>
    </row>
    <row r="130" ht="14.25" customHeight="1">
      <c r="D130" s="765"/>
      <c r="G130" s="765"/>
      <c r="H130" s="766"/>
    </row>
    <row r="131" ht="14.25" customHeight="1">
      <c r="D131" s="765"/>
      <c r="G131" s="765"/>
      <c r="H131" s="766"/>
    </row>
    <row r="132" ht="14.25" customHeight="1">
      <c r="D132" s="765"/>
      <c r="G132" s="765"/>
      <c r="H132" s="766"/>
    </row>
    <row r="133" ht="14.25" customHeight="1">
      <c r="D133" s="765"/>
      <c r="G133" s="765"/>
      <c r="H133" s="766"/>
    </row>
    <row r="134" ht="14.25" customHeight="1">
      <c r="D134" s="765"/>
      <c r="G134" s="765"/>
      <c r="H134" s="766"/>
    </row>
    <row r="135" ht="14.25" customHeight="1">
      <c r="D135" s="765"/>
      <c r="G135" s="765"/>
      <c r="H135" s="766"/>
    </row>
    <row r="136" ht="14.25" customHeight="1">
      <c r="D136" s="765"/>
      <c r="G136" s="765"/>
      <c r="H136" s="766"/>
    </row>
    <row r="137" ht="14.25" customHeight="1">
      <c r="D137" s="765"/>
      <c r="G137" s="765"/>
      <c r="H137" s="766"/>
    </row>
    <row r="138" ht="14.25" customHeight="1">
      <c r="D138" s="765"/>
      <c r="G138" s="765"/>
      <c r="H138" s="766"/>
    </row>
    <row r="139" ht="14.25" customHeight="1">
      <c r="D139" s="765"/>
      <c r="G139" s="765"/>
      <c r="H139" s="766"/>
    </row>
    <row r="140" ht="14.25" customHeight="1">
      <c r="D140" s="765"/>
      <c r="G140" s="765"/>
      <c r="H140" s="766"/>
    </row>
    <row r="141" ht="14.25" customHeight="1">
      <c r="D141" s="765"/>
      <c r="G141" s="765"/>
      <c r="H141" s="766"/>
    </row>
    <row r="142" ht="14.25" customHeight="1">
      <c r="D142" s="765"/>
      <c r="G142" s="765"/>
      <c r="H142" s="766"/>
    </row>
    <row r="143" ht="14.25" customHeight="1">
      <c r="D143" s="765"/>
      <c r="G143" s="765"/>
      <c r="H143" s="766"/>
    </row>
    <row r="144" ht="14.25" customHeight="1">
      <c r="D144" s="765"/>
      <c r="G144" s="765"/>
      <c r="H144" s="766"/>
    </row>
    <row r="145" ht="14.25" customHeight="1">
      <c r="D145" s="765"/>
      <c r="G145" s="765"/>
      <c r="H145" s="766"/>
    </row>
    <row r="146" ht="14.25" customHeight="1">
      <c r="D146" s="765"/>
      <c r="G146" s="765"/>
      <c r="H146" s="766"/>
    </row>
    <row r="147" ht="14.25" customHeight="1">
      <c r="D147" s="765"/>
      <c r="G147" s="765"/>
      <c r="H147" s="766"/>
    </row>
    <row r="148" ht="14.25" customHeight="1">
      <c r="D148" s="765"/>
      <c r="G148" s="765"/>
      <c r="H148" s="766"/>
    </row>
    <row r="149" ht="14.25" customHeight="1">
      <c r="D149" s="765"/>
      <c r="G149" s="765"/>
      <c r="H149" s="766"/>
    </row>
    <row r="150" ht="14.25" customHeight="1">
      <c r="D150" s="765"/>
      <c r="G150" s="765"/>
      <c r="H150" s="766"/>
    </row>
    <row r="151" ht="14.25" customHeight="1">
      <c r="D151" s="765"/>
      <c r="G151" s="765"/>
      <c r="H151" s="766"/>
    </row>
    <row r="152" ht="14.25" customHeight="1">
      <c r="D152" s="765"/>
      <c r="G152" s="765"/>
      <c r="H152" s="766"/>
    </row>
    <row r="153" ht="14.25" customHeight="1">
      <c r="D153" s="765"/>
      <c r="G153" s="765"/>
      <c r="H153" s="766"/>
    </row>
    <row r="154" ht="14.25" customHeight="1">
      <c r="D154" s="765"/>
      <c r="G154" s="765"/>
      <c r="H154" s="766"/>
    </row>
    <row r="155" ht="14.25" customHeight="1">
      <c r="D155" s="765"/>
      <c r="G155" s="765"/>
      <c r="H155" s="766"/>
    </row>
    <row r="156" ht="14.25" customHeight="1">
      <c r="D156" s="765"/>
      <c r="G156" s="765"/>
      <c r="H156" s="766"/>
    </row>
    <row r="157" ht="14.25" customHeight="1">
      <c r="D157" s="765"/>
      <c r="G157" s="765"/>
      <c r="H157" s="766"/>
    </row>
    <row r="158" ht="14.25" customHeight="1">
      <c r="D158" s="765"/>
      <c r="G158" s="765"/>
      <c r="H158" s="766"/>
    </row>
    <row r="159" ht="14.25" customHeight="1">
      <c r="D159" s="765"/>
      <c r="G159" s="765"/>
      <c r="H159" s="766"/>
    </row>
    <row r="160" ht="14.25" customHeight="1">
      <c r="D160" s="765"/>
      <c r="G160" s="765"/>
      <c r="H160" s="766"/>
    </row>
    <row r="161" ht="14.25" customHeight="1">
      <c r="D161" s="765"/>
      <c r="G161" s="765"/>
      <c r="H161" s="766"/>
    </row>
    <row r="162" ht="14.25" customHeight="1">
      <c r="D162" s="765"/>
      <c r="G162" s="765"/>
      <c r="H162" s="766"/>
    </row>
    <row r="163" ht="14.25" customHeight="1">
      <c r="D163" s="765"/>
      <c r="G163" s="765"/>
      <c r="H163" s="766"/>
    </row>
    <row r="164" ht="14.25" customHeight="1">
      <c r="D164" s="765"/>
      <c r="G164" s="765"/>
      <c r="H164" s="766"/>
    </row>
    <row r="165" ht="14.25" customHeight="1">
      <c r="D165" s="765"/>
      <c r="G165" s="765"/>
      <c r="H165" s="766"/>
    </row>
    <row r="166" ht="14.25" customHeight="1">
      <c r="D166" s="765"/>
      <c r="G166" s="765"/>
      <c r="H166" s="766"/>
    </row>
    <row r="167" ht="14.25" customHeight="1">
      <c r="D167" s="765"/>
      <c r="G167" s="765"/>
      <c r="H167" s="766"/>
    </row>
    <row r="168" ht="14.25" customHeight="1">
      <c r="D168" s="765"/>
      <c r="G168" s="765"/>
      <c r="H168" s="766"/>
    </row>
    <row r="169" ht="14.25" customHeight="1">
      <c r="D169" s="765"/>
      <c r="G169" s="765"/>
      <c r="H169" s="766"/>
    </row>
    <row r="170" ht="14.25" customHeight="1">
      <c r="D170" s="765"/>
      <c r="G170" s="765"/>
      <c r="H170" s="766"/>
    </row>
    <row r="171" ht="14.25" customHeight="1">
      <c r="D171" s="765"/>
      <c r="G171" s="765"/>
      <c r="H171" s="766"/>
    </row>
    <row r="172" ht="14.25" customHeight="1">
      <c r="D172" s="765"/>
      <c r="G172" s="765"/>
      <c r="H172" s="766"/>
    </row>
    <row r="173" ht="14.25" customHeight="1">
      <c r="D173" s="765"/>
      <c r="G173" s="765"/>
      <c r="H173" s="766"/>
    </row>
    <row r="174" ht="14.25" customHeight="1">
      <c r="D174" s="765"/>
      <c r="G174" s="765"/>
      <c r="H174" s="766"/>
    </row>
    <row r="175" ht="14.25" customHeight="1">
      <c r="D175" s="765"/>
      <c r="G175" s="765"/>
      <c r="H175" s="766"/>
    </row>
    <row r="176" ht="14.25" customHeight="1">
      <c r="D176" s="765"/>
      <c r="G176" s="765"/>
      <c r="H176" s="766"/>
    </row>
    <row r="177" ht="14.25" customHeight="1">
      <c r="D177" s="765"/>
      <c r="G177" s="765"/>
      <c r="H177" s="766"/>
    </row>
    <row r="178" ht="14.25" customHeight="1">
      <c r="D178" s="765"/>
      <c r="G178" s="765"/>
      <c r="H178" s="766"/>
    </row>
    <row r="179" ht="14.25" customHeight="1">
      <c r="D179" s="765"/>
      <c r="G179" s="765"/>
      <c r="H179" s="766"/>
    </row>
    <row r="180" ht="14.25" customHeight="1">
      <c r="D180" s="765"/>
      <c r="G180" s="765"/>
      <c r="H180" s="766"/>
    </row>
    <row r="181" ht="14.25" customHeight="1">
      <c r="D181" s="765"/>
      <c r="G181" s="765"/>
      <c r="H181" s="766"/>
    </row>
    <row r="182" ht="14.25" customHeight="1">
      <c r="D182" s="765"/>
      <c r="G182" s="765"/>
      <c r="H182" s="766"/>
    </row>
    <row r="183" ht="14.25" customHeight="1">
      <c r="D183" s="765"/>
      <c r="G183" s="765"/>
      <c r="H183" s="766"/>
    </row>
    <row r="184" ht="14.25" customHeight="1">
      <c r="D184" s="765"/>
      <c r="G184" s="765"/>
      <c r="H184" s="766"/>
    </row>
    <row r="185" ht="14.25" customHeight="1">
      <c r="D185" s="765"/>
      <c r="G185" s="765"/>
      <c r="H185" s="766"/>
    </row>
    <row r="186" ht="14.25" customHeight="1">
      <c r="D186" s="765"/>
      <c r="G186" s="765"/>
      <c r="H186" s="766"/>
    </row>
    <row r="187" ht="14.25" customHeight="1">
      <c r="D187" s="765"/>
      <c r="G187" s="765"/>
      <c r="H187" s="766"/>
    </row>
    <row r="188" ht="14.25" customHeight="1">
      <c r="D188" s="765"/>
      <c r="G188" s="765"/>
      <c r="H188" s="766"/>
    </row>
    <row r="189" ht="14.25" customHeight="1">
      <c r="D189" s="765"/>
      <c r="G189" s="765"/>
      <c r="H189" s="766"/>
    </row>
    <row r="190" ht="14.25" customHeight="1">
      <c r="D190" s="765"/>
      <c r="G190" s="765"/>
      <c r="H190" s="766"/>
    </row>
    <row r="191" ht="14.25" customHeight="1">
      <c r="D191" s="765"/>
      <c r="G191" s="765"/>
      <c r="H191" s="766"/>
    </row>
    <row r="192" ht="14.25" customHeight="1">
      <c r="D192" s="765"/>
      <c r="G192" s="765"/>
      <c r="H192" s="766"/>
    </row>
    <row r="193" ht="14.25" customHeight="1">
      <c r="D193" s="765"/>
      <c r="G193" s="765"/>
      <c r="H193" s="766"/>
    </row>
    <row r="194" ht="14.25" customHeight="1">
      <c r="D194" s="765"/>
      <c r="G194" s="765"/>
      <c r="H194" s="766"/>
    </row>
    <row r="195" ht="14.25" customHeight="1">
      <c r="D195" s="765"/>
      <c r="G195" s="765"/>
      <c r="H195" s="766"/>
    </row>
    <row r="196" ht="14.25" customHeight="1">
      <c r="D196" s="765"/>
      <c r="G196" s="765"/>
      <c r="H196" s="766"/>
    </row>
    <row r="197" ht="14.25" customHeight="1">
      <c r="D197" s="765"/>
      <c r="G197" s="765"/>
      <c r="H197" s="766"/>
    </row>
    <row r="198" ht="14.25" customHeight="1">
      <c r="D198" s="765"/>
      <c r="G198" s="765"/>
      <c r="H198" s="766"/>
    </row>
    <row r="199" ht="14.25" customHeight="1">
      <c r="D199" s="765"/>
      <c r="G199" s="765"/>
      <c r="H199" s="766"/>
    </row>
    <row r="200" ht="14.25" customHeight="1">
      <c r="D200" s="765"/>
      <c r="G200" s="765"/>
      <c r="H200" s="766"/>
    </row>
    <row r="201" ht="14.25" customHeight="1">
      <c r="D201" s="765"/>
      <c r="G201" s="765"/>
      <c r="H201" s="766"/>
    </row>
    <row r="202" ht="14.25" customHeight="1">
      <c r="D202" s="765"/>
      <c r="G202" s="765"/>
      <c r="H202" s="766"/>
    </row>
    <row r="203" ht="14.25" customHeight="1">
      <c r="D203" s="765"/>
      <c r="G203" s="765"/>
      <c r="H203" s="766"/>
    </row>
    <row r="204" ht="14.25" customHeight="1">
      <c r="D204" s="765"/>
      <c r="G204" s="765"/>
      <c r="H204" s="766"/>
    </row>
    <row r="205" ht="14.25" customHeight="1">
      <c r="D205" s="765"/>
      <c r="G205" s="765"/>
      <c r="H205" s="766"/>
    </row>
    <row r="206" ht="14.25" customHeight="1">
      <c r="D206" s="765"/>
      <c r="G206" s="765"/>
      <c r="H206" s="766"/>
    </row>
    <row r="207" ht="14.25" customHeight="1">
      <c r="D207" s="765"/>
      <c r="G207" s="765"/>
      <c r="H207" s="766"/>
    </row>
    <row r="208" ht="14.25" customHeight="1">
      <c r="D208" s="765"/>
      <c r="G208" s="765"/>
      <c r="H208" s="766"/>
    </row>
    <row r="209" ht="14.25" customHeight="1">
      <c r="D209" s="765"/>
      <c r="G209" s="765"/>
      <c r="H209" s="766"/>
    </row>
    <row r="210" ht="14.25" customHeight="1">
      <c r="D210" s="765"/>
      <c r="G210" s="765"/>
      <c r="H210" s="766"/>
    </row>
    <row r="211" ht="14.25" customHeight="1">
      <c r="D211" s="765"/>
      <c r="G211" s="765"/>
      <c r="H211" s="766"/>
    </row>
    <row r="212" ht="14.25" customHeight="1">
      <c r="D212" s="765"/>
      <c r="G212" s="765"/>
      <c r="H212" s="766"/>
    </row>
    <row r="213" ht="14.25" customHeight="1">
      <c r="D213" s="765"/>
      <c r="G213" s="765"/>
      <c r="H213" s="766"/>
    </row>
    <row r="214" ht="14.25" customHeight="1">
      <c r="D214" s="765"/>
      <c r="G214" s="765"/>
      <c r="H214" s="766"/>
    </row>
    <row r="215" ht="14.25" customHeight="1">
      <c r="D215" s="765"/>
      <c r="G215" s="765"/>
      <c r="H215" s="766"/>
    </row>
    <row r="216" ht="14.25" customHeight="1">
      <c r="D216" s="765"/>
      <c r="G216" s="765"/>
      <c r="H216" s="766"/>
    </row>
    <row r="217" ht="14.25" customHeight="1">
      <c r="D217" s="765"/>
      <c r="G217" s="765"/>
      <c r="H217" s="766"/>
    </row>
    <row r="218" ht="14.25" customHeight="1">
      <c r="D218" s="765"/>
      <c r="G218" s="765"/>
      <c r="H218" s="766"/>
    </row>
    <row r="219" ht="14.25" customHeight="1">
      <c r="D219" s="765"/>
      <c r="G219" s="765"/>
      <c r="H219" s="766"/>
    </row>
    <row r="220" ht="14.25" customHeight="1">
      <c r="D220" s="765"/>
      <c r="G220" s="765"/>
      <c r="H220" s="766"/>
    </row>
    <row r="221" ht="14.25" customHeight="1">
      <c r="D221" s="765"/>
      <c r="G221" s="765"/>
      <c r="H221" s="766"/>
    </row>
    <row r="222" ht="14.25" customHeight="1">
      <c r="D222" s="765"/>
      <c r="G222" s="765"/>
      <c r="H222" s="766"/>
    </row>
    <row r="223" ht="14.25" customHeight="1">
      <c r="D223" s="765"/>
      <c r="G223" s="765"/>
      <c r="H223" s="766"/>
    </row>
    <row r="224" ht="14.25" customHeight="1">
      <c r="D224" s="765"/>
      <c r="G224" s="765"/>
      <c r="H224" s="766"/>
    </row>
    <row r="225" ht="14.25" customHeight="1">
      <c r="D225" s="765"/>
      <c r="G225" s="765"/>
      <c r="H225" s="766"/>
    </row>
    <row r="226" ht="14.25" customHeight="1">
      <c r="D226" s="765"/>
      <c r="G226" s="765"/>
      <c r="H226" s="766"/>
    </row>
    <row r="227" ht="14.25" customHeight="1">
      <c r="D227" s="765"/>
      <c r="G227" s="765"/>
      <c r="H227" s="766"/>
    </row>
    <row r="228" ht="14.25" customHeight="1">
      <c r="D228" s="765"/>
      <c r="G228" s="765"/>
      <c r="H228" s="766"/>
    </row>
    <row r="229" ht="14.25" customHeight="1">
      <c r="D229" s="765"/>
      <c r="G229" s="765"/>
      <c r="H229" s="766"/>
    </row>
    <row r="230" ht="14.25" customHeight="1">
      <c r="D230" s="765"/>
      <c r="G230" s="765"/>
      <c r="H230" s="766"/>
    </row>
    <row r="231" ht="14.25" customHeight="1">
      <c r="D231" s="765"/>
      <c r="G231" s="765"/>
      <c r="H231" s="766"/>
    </row>
    <row r="232" ht="14.25" customHeight="1">
      <c r="D232" s="765"/>
      <c r="G232" s="765"/>
      <c r="H232" s="766"/>
    </row>
    <row r="233" ht="14.25" customHeight="1">
      <c r="D233" s="765"/>
      <c r="G233" s="765"/>
      <c r="H233" s="766"/>
    </row>
    <row r="234" ht="14.25" customHeight="1">
      <c r="D234" s="765"/>
      <c r="G234" s="765"/>
      <c r="H234" s="766"/>
    </row>
    <row r="235" ht="14.25" customHeight="1">
      <c r="D235" s="765"/>
      <c r="G235" s="765"/>
      <c r="H235" s="766"/>
    </row>
    <row r="236" ht="14.25" customHeight="1">
      <c r="D236" s="765"/>
      <c r="G236" s="765"/>
      <c r="H236" s="766"/>
    </row>
    <row r="237" ht="14.25" customHeight="1">
      <c r="D237" s="765"/>
      <c r="G237" s="765"/>
      <c r="H237" s="766"/>
    </row>
    <row r="238" ht="14.25" customHeight="1">
      <c r="D238" s="765"/>
      <c r="G238" s="765"/>
      <c r="H238" s="766"/>
    </row>
    <row r="239" ht="14.25" customHeight="1">
      <c r="D239" s="765"/>
      <c r="G239" s="765"/>
      <c r="H239" s="766"/>
    </row>
    <row r="240" ht="14.25" customHeight="1">
      <c r="D240" s="765"/>
      <c r="G240" s="765"/>
      <c r="H240" s="766"/>
    </row>
    <row r="241" ht="14.25" customHeight="1">
      <c r="D241" s="765"/>
      <c r="G241" s="765"/>
      <c r="H241" s="766"/>
    </row>
    <row r="242" ht="14.25" customHeight="1">
      <c r="D242" s="765"/>
      <c r="G242" s="765"/>
      <c r="H242" s="766"/>
    </row>
    <row r="243" ht="14.25" customHeight="1">
      <c r="D243" s="765"/>
      <c r="G243" s="765"/>
      <c r="H243" s="766"/>
    </row>
    <row r="244" ht="14.25" customHeight="1">
      <c r="D244" s="765"/>
      <c r="G244" s="765"/>
      <c r="H244" s="766"/>
    </row>
    <row r="245" ht="14.25" customHeight="1">
      <c r="D245" s="765"/>
      <c r="G245" s="765"/>
      <c r="H245" s="766"/>
    </row>
    <row r="246" ht="14.25" customHeight="1">
      <c r="D246" s="765"/>
      <c r="G246" s="765"/>
      <c r="H246" s="766"/>
    </row>
    <row r="247" ht="14.25" customHeight="1">
      <c r="D247" s="765"/>
      <c r="G247" s="765"/>
      <c r="H247" s="766"/>
    </row>
    <row r="248" ht="14.25" customHeight="1">
      <c r="D248" s="765"/>
      <c r="G248" s="765"/>
      <c r="H248" s="766"/>
    </row>
    <row r="249" ht="14.25" customHeight="1">
      <c r="D249" s="765"/>
      <c r="G249" s="765"/>
      <c r="H249" s="766"/>
    </row>
    <row r="250" ht="14.25" customHeight="1">
      <c r="D250" s="765"/>
      <c r="G250" s="765"/>
      <c r="H250" s="766"/>
    </row>
    <row r="251" ht="14.25" customHeight="1">
      <c r="D251" s="765"/>
      <c r="G251" s="765"/>
      <c r="H251" s="766"/>
    </row>
    <row r="252" ht="14.25" customHeight="1">
      <c r="D252" s="765"/>
      <c r="G252" s="765"/>
      <c r="H252" s="766"/>
    </row>
    <row r="253" ht="14.25" customHeight="1">
      <c r="D253" s="765"/>
      <c r="G253" s="765"/>
      <c r="H253" s="766"/>
    </row>
    <row r="254" ht="14.25" customHeight="1">
      <c r="D254" s="765"/>
      <c r="G254" s="765"/>
      <c r="H254" s="766"/>
    </row>
    <row r="255" ht="14.25" customHeight="1">
      <c r="D255" s="765"/>
      <c r="G255" s="765"/>
      <c r="H255" s="766"/>
    </row>
    <row r="256" ht="14.25" customHeight="1">
      <c r="D256" s="765"/>
      <c r="G256" s="765"/>
      <c r="H256" s="766"/>
    </row>
    <row r="257" ht="14.25" customHeight="1">
      <c r="D257" s="765"/>
      <c r="G257" s="765"/>
      <c r="H257" s="766"/>
    </row>
    <row r="258" ht="14.25" customHeight="1">
      <c r="D258" s="765"/>
      <c r="G258" s="765"/>
      <c r="H258" s="766"/>
    </row>
    <row r="259" ht="14.25" customHeight="1">
      <c r="D259" s="765"/>
      <c r="G259" s="765"/>
      <c r="H259" s="766"/>
    </row>
    <row r="260" ht="14.25" customHeight="1">
      <c r="D260" s="765"/>
      <c r="G260" s="765"/>
      <c r="H260" s="766"/>
    </row>
    <row r="261" ht="14.25" customHeight="1">
      <c r="D261" s="765"/>
      <c r="G261" s="765"/>
      <c r="H261" s="766"/>
    </row>
    <row r="262" ht="14.25" customHeight="1">
      <c r="D262" s="765"/>
      <c r="G262" s="765"/>
      <c r="H262" s="766"/>
    </row>
    <row r="263" ht="14.25" customHeight="1">
      <c r="D263" s="765"/>
      <c r="G263" s="765"/>
      <c r="H263" s="766"/>
    </row>
    <row r="264" ht="14.25" customHeight="1">
      <c r="D264" s="765"/>
      <c r="G264" s="765"/>
      <c r="H264" s="766"/>
    </row>
    <row r="265" ht="14.25" customHeight="1">
      <c r="D265" s="765"/>
      <c r="G265" s="765"/>
      <c r="H265" s="766"/>
    </row>
    <row r="266" ht="14.25" customHeight="1">
      <c r="D266" s="765"/>
      <c r="G266" s="765"/>
      <c r="H266" s="766"/>
    </row>
    <row r="267" ht="14.25" customHeight="1">
      <c r="D267" s="765"/>
      <c r="G267" s="765"/>
      <c r="H267" s="766"/>
    </row>
    <row r="268" ht="14.25" customHeight="1">
      <c r="D268" s="765"/>
      <c r="G268" s="765"/>
      <c r="H268" s="766"/>
    </row>
    <row r="269" ht="14.25" customHeight="1">
      <c r="D269" s="765"/>
      <c r="G269" s="765"/>
      <c r="H269" s="766"/>
    </row>
    <row r="270" ht="14.25" customHeight="1">
      <c r="D270" s="765"/>
      <c r="G270" s="765"/>
      <c r="H270" s="766"/>
    </row>
    <row r="271" ht="14.25" customHeight="1">
      <c r="D271" s="765"/>
      <c r="G271" s="765"/>
      <c r="H271" s="766"/>
    </row>
    <row r="272" ht="14.25" customHeight="1">
      <c r="D272" s="765"/>
      <c r="G272" s="765"/>
      <c r="H272" s="766"/>
    </row>
    <row r="273" ht="14.25" customHeight="1">
      <c r="D273" s="765"/>
      <c r="G273" s="765"/>
      <c r="H273" s="766"/>
    </row>
    <row r="274" ht="14.25" customHeight="1">
      <c r="D274" s="765"/>
      <c r="G274" s="765"/>
      <c r="H274" s="766"/>
    </row>
    <row r="275" ht="14.25" customHeight="1">
      <c r="D275" s="765"/>
      <c r="G275" s="765"/>
      <c r="H275" s="766"/>
    </row>
    <row r="276" ht="14.25" customHeight="1">
      <c r="D276" s="765"/>
      <c r="G276" s="765"/>
      <c r="H276" s="766"/>
    </row>
    <row r="277" ht="14.25" customHeight="1">
      <c r="D277" s="765"/>
      <c r="G277" s="765"/>
      <c r="H277" s="766"/>
    </row>
    <row r="278" ht="14.25" customHeight="1">
      <c r="D278" s="765"/>
      <c r="G278" s="765"/>
      <c r="H278" s="766"/>
    </row>
    <row r="279" ht="14.25" customHeight="1">
      <c r="D279" s="765"/>
      <c r="G279" s="765"/>
      <c r="H279" s="766"/>
    </row>
    <row r="280" ht="14.25" customHeight="1">
      <c r="D280" s="765"/>
      <c r="G280" s="765"/>
      <c r="H280" s="766"/>
    </row>
    <row r="281" ht="14.25" customHeight="1">
      <c r="D281" s="765"/>
      <c r="G281" s="765"/>
      <c r="H281" s="766"/>
    </row>
    <row r="282" ht="14.25" customHeight="1">
      <c r="D282" s="765"/>
      <c r="G282" s="765"/>
      <c r="H282" s="766"/>
    </row>
    <row r="283" ht="14.25" customHeight="1">
      <c r="D283" s="765"/>
      <c r="G283" s="765"/>
      <c r="H283" s="766"/>
    </row>
    <row r="284" ht="14.25" customHeight="1">
      <c r="D284" s="765"/>
      <c r="G284" s="765"/>
      <c r="H284" s="766"/>
    </row>
    <row r="285" ht="14.25" customHeight="1">
      <c r="D285" s="765"/>
      <c r="G285" s="765"/>
      <c r="H285" s="766"/>
    </row>
    <row r="286" ht="14.25" customHeight="1">
      <c r="D286" s="765"/>
      <c r="G286" s="765"/>
      <c r="H286" s="766"/>
    </row>
    <row r="287" ht="14.25" customHeight="1">
      <c r="D287" s="765"/>
      <c r="G287" s="765"/>
      <c r="H287" s="766"/>
    </row>
    <row r="288" ht="14.25" customHeight="1">
      <c r="D288" s="765"/>
      <c r="G288" s="765"/>
      <c r="H288" s="766"/>
    </row>
    <row r="289" ht="14.25" customHeight="1">
      <c r="D289" s="765"/>
      <c r="G289" s="765"/>
      <c r="H289" s="766"/>
    </row>
    <row r="290" ht="14.25" customHeight="1">
      <c r="D290" s="765"/>
      <c r="G290" s="765"/>
      <c r="H290" s="766"/>
    </row>
    <row r="291" ht="14.25" customHeight="1">
      <c r="D291" s="765"/>
      <c r="G291" s="765"/>
      <c r="H291" s="766"/>
    </row>
    <row r="292" ht="14.25" customHeight="1">
      <c r="D292" s="765"/>
      <c r="G292" s="765"/>
      <c r="H292" s="766"/>
    </row>
    <row r="293" ht="14.25" customHeight="1">
      <c r="D293" s="765"/>
      <c r="G293" s="765"/>
      <c r="H293" s="766"/>
    </row>
    <row r="294" ht="14.25" customHeight="1">
      <c r="D294" s="765"/>
      <c r="G294" s="765"/>
      <c r="H294" s="766"/>
    </row>
    <row r="295" ht="14.25" customHeight="1">
      <c r="D295" s="765"/>
      <c r="G295" s="765"/>
      <c r="H295" s="766"/>
    </row>
    <row r="296" ht="14.25" customHeight="1">
      <c r="D296" s="765"/>
      <c r="G296" s="765"/>
      <c r="H296" s="766"/>
    </row>
    <row r="297" ht="14.25" customHeight="1">
      <c r="D297" s="765"/>
      <c r="G297" s="765"/>
      <c r="H297" s="766"/>
    </row>
    <row r="298" ht="14.25" customHeight="1">
      <c r="D298" s="765"/>
      <c r="G298" s="765"/>
      <c r="H298" s="766"/>
    </row>
    <row r="299" ht="14.25" customHeight="1">
      <c r="D299" s="765"/>
      <c r="G299" s="765"/>
      <c r="H299" s="766"/>
    </row>
    <row r="300" ht="14.25" customHeight="1">
      <c r="D300" s="765"/>
      <c r="G300" s="765"/>
      <c r="H300" s="766"/>
    </row>
    <row r="301" ht="14.25" customHeight="1">
      <c r="D301" s="765"/>
      <c r="G301" s="765"/>
      <c r="H301" s="766"/>
    </row>
    <row r="302" ht="14.25" customHeight="1">
      <c r="D302" s="765"/>
      <c r="G302" s="765"/>
      <c r="H302" s="766"/>
    </row>
    <row r="303" ht="14.25" customHeight="1">
      <c r="D303" s="765"/>
      <c r="G303" s="765"/>
      <c r="H303" s="766"/>
    </row>
    <row r="304" ht="14.25" customHeight="1">
      <c r="D304" s="765"/>
      <c r="G304" s="765"/>
      <c r="H304" s="766"/>
    </row>
    <row r="305" ht="14.25" customHeight="1">
      <c r="D305" s="765"/>
      <c r="G305" s="765"/>
      <c r="H305" s="766"/>
    </row>
    <row r="306" ht="14.25" customHeight="1">
      <c r="D306" s="765"/>
      <c r="G306" s="765"/>
      <c r="H306" s="766"/>
    </row>
    <row r="307" ht="14.25" customHeight="1">
      <c r="D307" s="765"/>
      <c r="G307" s="765"/>
      <c r="H307" s="766"/>
    </row>
    <row r="308" ht="14.25" customHeight="1">
      <c r="D308" s="765"/>
      <c r="G308" s="765"/>
      <c r="H308" s="766"/>
    </row>
    <row r="309" ht="14.25" customHeight="1">
      <c r="D309" s="765"/>
      <c r="G309" s="765"/>
      <c r="H309" s="766"/>
    </row>
    <row r="310" ht="14.25" customHeight="1">
      <c r="D310" s="765"/>
      <c r="G310" s="765"/>
      <c r="H310" s="766"/>
    </row>
    <row r="311" ht="14.25" customHeight="1">
      <c r="D311" s="765"/>
      <c r="G311" s="765"/>
      <c r="H311" s="766"/>
    </row>
    <row r="312" ht="14.25" customHeight="1">
      <c r="D312" s="765"/>
      <c r="G312" s="765"/>
      <c r="H312" s="766"/>
    </row>
    <row r="313" ht="14.25" customHeight="1">
      <c r="D313" s="765"/>
      <c r="G313" s="765"/>
      <c r="H313" s="766"/>
    </row>
    <row r="314" ht="14.25" customHeight="1">
      <c r="D314" s="765"/>
      <c r="G314" s="765"/>
      <c r="H314" s="766"/>
    </row>
    <row r="315" ht="14.25" customHeight="1">
      <c r="D315" s="765"/>
      <c r="G315" s="765"/>
      <c r="H315" s="766"/>
    </row>
    <row r="316" ht="14.25" customHeight="1">
      <c r="D316" s="765"/>
      <c r="G316" s="765"/>
      <c r="H316" s="766"/>
    </row>
    <row r="317" ht="14.25" customHeight="1">
      <c r="D317" s="765"/>
      <c r="G317" s="765"/>
      <c r="H317" s="766"/>
    </row>
    <row r="318" ht="14.25" customHeight="1">
      <c r="D318" s="765"/>
      <c r="G318" s="765"/>
      <c r="H318" s="766"/>
    </row>
    <row r="319" ht="14.25" customHeight="1">
      <c r="D319" s="765"/>
      <c r="G319" s="765"/>
      <c r="H319" s="766"/>
    </row>
    <row r="320" ht="14.25" customHeight="1">
      <c r="D320" s="765"/>
      <c r="G320" s="765"/>
      <c r="H320" s="766"/>
    </row>
    <row r="321" ht="14.25" customHeight="1">
      <c r="D321" s="765"/>
      <c r="G321" s="765"/>
      <c r="H321" s="766"/>
    </row>
    <row r="322" ht="14.25" customHeight="1">
      <c r="D322" s="765"/>
      <c r="G322" s="765"/>
      <c r="H322" s="766"/>
    </row>
    <row r="323" ht="14.25" customHeight="1">
      <c r="D323" s="765"/>
      <c r="G323" s="765"/>
      <c r="H323" s="766"/>
    </row>
    <row r="324" ht="14.25" customHeight="1">
      <c r="D324" s="765"/>
      <c r="G324" s="765"/>
      <c r="H324" s="766"/>
    </row>
    <row r="325" ht="14.25" customHeight="1">
      <c r="D325" s="765"/>
      <c r="G325" s="765"/>
      <c r="H325" s="766"/>
    </row>
    <row r="326" ht="14.25" customHeight="1">
      <c r="D326" s="765"/>
      <c r="G326" s="765"/>
      <c r="H326" s="766"/>
    </row>
    <row r="327" ht="14.25" customHeight="1">
      <c r="D327" s="765"/>
      <c r="G327" s="765"/>
      <c r="H327" s="766"/>
    </row>
    <row r="328" ht="14.25" customHeight="1">
      <c r="D328" s="765"/>
      <c r="G328" s="765"/>
      <c r="H328" s="766"/>
    </row>
    <row r="329" ht="14.25" customHeight="1">
      <c r="D329" s="765"/>
      <c r="G329" s="765"/>
      <c r="H329" s="766"/>
    </row>
    <row r="330" ht="14.25" customHeight="1">
      <c r="D330" s="765"/>
      <c r="G330" s="765"/>
      <c r="H330" s="766"/>
    </row>
    <row r="331" ht="14.25" customHeight="1">
      <c r="D331" s="765"/>
      <c r="G331" s="765"/>
      <c r="H331" s="766"/>
    </row>
    <row r="332" ht="14.25" customHeight="1">
      <c r="D332" s="765"/>
      <c r="G332" s="765"/>
      <c r="H332" s="766"/>
    </row>
    <row r="333" ht="14.25" customHeight="1">
      <c r="D333" s="765"/>
      <c r="G333" s="765"/>
      <c r="H333" s="766"/>
    </row>
    <row r="334" ht="14.25" customHeight="1">
      <c r="D334" s="765"/>
      <c r="G334" s="765"/>
      <c r="H334" s="766"/>
    </row>
    <row r="335" ht="14.25" customHeight="1">
      <c r="D335" s="765"/>
      <c r="G335" s="765"/>
      <c r="H335" s="766"/>
    </row>
    <row r="336" ht="14.25" customHeight="1">
      <c r="D336" s="765"/>
      <c r="G336" s="765"/>
      <c r="H336" s="766"/>
    </row>
    <row r="337" ht="14.25" customHeight="1">
      <c r="D337" s="765"/>
      <c r="G337" s="765"/>
      <c r="H337" s="766"/>
    </row>
    <row r="338" ht="14.25" customHeight="1">
      <c r="D338" s="765"/>
      <c r="G338" s="765"/>
      <c r="H338" s="766"/>
    </row>
    <row r="339" ht="14.25" customHeight="1">
      <c r="D339" s="765"/>
      <c r="G339" s="765"/>
      <c r="H339" s="766"/>
    </row>
    <row r="340" ht="14.25" customHeight="1">
      <c r="D340" s="765"/>
      <c r="G340" s="765"/>
      <c r="H340" s="766"/>
    </row>
    <row r="341" ht="14.25" customHeight="1">
      <c r="D341" s="765"/>
      <c r="G341" s="765"/>
      <c r="H341" s="766"/>
    </row>
    <row r="342" ht="14.25" customHeight="1">
      <c r="D342" s="765"/>
      <c r="G342" s="765"/>
      <c r="H342" s="766"/>
    </row>
    <row r="343" ht="14.25" customHeight="1">
      <c r="D343" s="765"/>
      <c r="G343" s="765"/>
      <c r="H343" s="766"/>
    </row>
    <row r="344" ht="14.25" customHeight="1">
      <c r="D344" s="765"/>
      <c r="G344" s="765"/>
      <c r="H344" s="766"/>
    </row>
    <row r="345" ht="14.25" customHeight="1">
      <c r="D345" s="765"/>
      <c r="G345" s="765"/>
      <c r="H345" s="766"/>
    </row>
    <row r="346" ht="14.25" customHeight="1">
      <c r="D346" s="765"/>
      <c r="G346" s="765"/>
      <c r="H346" s="766"/>
    </row>
    <row r="347" ht="14.25" customHeight="1">
      <c r="D347" s="765"/>
      <c r="G347" s="765"/>
      <c r="H347" s="766"/>
    </row>
    <row r="348" ht="14.25" customHeight="1">
      <c r="D348" s="765"/>
      <c r="G348" s="765"/>
      <c r="H348" s="766"/>
    </row>
    <row r="349" ht="14.25" customHeight="1">
      <c r="D349" s="765"/>
      <c r="G349" s="765"/>
      <c r="H349" s="766"/>
    </row>
    <row r="350" ht="14.25" customHeight="1">
      <c r="D350" s="765"/>
      <c r="G350" s="765"/>
      <c r="H350" s="766"/>
    </row>
    <row r="351" ht="14.25" customHeight="1">
      <c r="D351" s="765"/>
      <c r="G351" s="765"/>
      <c r="H351" s="766"/>
    </row>
    <row r="352" ht="14.25" customHeight="1">
      <c r="D352" s="765"/>
      <c r="G352" s="765"/>
      <c r="H352" s="766"/>
    </row>
    <row r="353" ht="14.25" customHeight="1">
      <c r="D353" s="765"/>
      <c r="G353" s="765"/>
      <c r="H353" s="766"/>
    </row>
    <row r="354" ht="14.25" customHeight="1">
      <c r="D354" s="765"/>
      <c r="G354" s="765"/>
      <c r="H354" s="766"/>
    </row>
    <row r="355" ht="14.25" customHeight="1">
      <c r="D355" s="765"/>
      <c r="G355" s="765"/>
      <c r="H355" s="766"/>
    </row>
    <row r="356" ht="14.25" customHeight="1">
      <c r="D356" s="765"/>
      <c r="G356" s="765"/>
      <c r="H356" s="766"/>
    </row>
    <row r="357" ht="14.25" customHeight="1">
      <c r="D357" s="765"/>
      <c r="G357" s="765"/>
      <c r="H357" s="766"/>
    </row>
    <row r="358" ht="14.25" customHeight="1">
      <c r="D358" s="765"/>
      <c r="G358" s="765"/>
      <c r="H358" s="766"/>
    </row>
    <row r="359" ht="14.25" customHeight="1">
      <c r="D359" s="765"/>
      <c r="G359" s="765"/>
      <c r="H359" s="766"/>
    </row>
    <row r="360" ht="14.25" customHeight="1">
      <c r="D360" s="765"/>
      <c r="G360" s="765"/>
      <c r="H360" s="766"/>
    </row>
    <row r="361" ht="14.25" customHeight="1">
      <c r="D361" s="765"/>
      <c r="G361" s="765"/>
      <c r="H361" s="766"/>
    </row>
    <row r="362" ht="14.25" customHeight="1">
      <c r="D362" s="765"/>
      <c r="G362" s="765"/>
      <c r="H362" s="766"/>
    </row>
    <row r="363" ht="14.25" customHeight="1">
      <c r="D363" s="765"/>
      <c r="G363" s="765"/>
      <c r="H363" s="766"/>
    </row>
    <row r="364" ht="14.25" customHeight="1">
      <c r="D364" s="765"/>
      <c r="G364" s="765"/>
      <c r="H364" s="766"/>
    </row>
    <row r="365" ht="14.25" customHeight="1">
      <c r="D365" s="765"/>
      <c r="G365" s="765"/>
      <c r="H365" s="766"/>
    </row>
    <row r="366" ht="14.25" customHeight="1">
      <c r="D366" s="765"/>
      <c r="G366" s="765"/>
      <c r="H366" s="766"/>
    </row>
    <row r="367" ht="14.25" customHeight="1">
      <c r="D367" s="765"/>
      <c r="G367" s="765"/>
      <c r="H367" s="766"/>
    </row>
    <row r="368" ht="14.25" customHeight="1">
      <c r="D368" s="765"/>
      <c r="G368" s="765"/>
      <c r="H368" s="766"/>
    </row>
    <row r="369" ht="14.25" customHeight="1">
      <c r="D369" s="765"/>
      <c r="G369" s="765"/>
      <c r="H369" s="766"/>
    </row>
    <row r="370" ht="14.25" customHeight="1">
      <c r="D370" s="765"/>
      <c r="G370" s="765"/>
      <c r="H370" s="766"/>
    </row>
    <row r="371" ht="14.25" customHeight="1">
      <c r="D371" s="765"/>
      <c r="G371" s="765"/>
      <c r="H371" s="766"/>
    </row>
    <row r="372" ht="14.25" customHeight="1">
      <c r="D372" s="765"/>
      <c r="G372" s="765"/>
      <c r="H372" s="766"/>
    </row>
    <row r="373" ht="14.25" customHeight="1">
      <c r="D373" s="765"/>
      <c r="G373" s="765"/>
      <c r="H373" s="766"/>
    </row>
    <row r="374" ht="14.25" customHeight="1">
      <c r="D374" s="765"/>
      <c r="G374" s="765"/>
      <c r="H374" s="766"/>
    </row>
    <row r="375" ht="14.25" customHeight="1">
      <c r="D375" s="765"/>
      <c r="G375" s="765"/>
      <c r="H375" s="766"/>
    </row>
    <row r="376" ht="14.25" customHeight="1">
      <c r="D376" s="765"/>
      <c r="G376" s="765"/>
      <c r="H376" s="766"/>
    </row>
    <row r="377" ht="14.25" customHeight="1">
      <c r="D377" s="765"/>
      <c r="G377" s="765"/>
      <c r="H377" s="766"/>
    </row>
    <row r="378" ht="14.25" customHeight="1">
      <c r="D378" s="765"/>
      <c r="G378" s="765"/>
      <c r="H378" s="766"/>
    </row>
    <row r="379" ht="14.25" customHeight="1">
      <c r="D379" s="765"/>
      <c r="G379" s="765"/>
      <c r="H379" s="766"/>
    </row>
    <row r="380" ht="14.25" customHeight="1">
      <c r="D380" s="765"/>
      <c r="G380" s="765"/>
      <c r="H380" s="766"/>
    </row>
    <row r="381" ht="14.25" customHeight="1">
      <c r="D381" s="765"/>
      <c r="G381" s="765"/>
      <c r="H381" s="766"/>
    </row>
    <row r="382" ht="14.25" customHeight="1">
      <c r="D382" s="765"/>
      <c r="G382" s="765"/>
      <c r="H382" s="766"/>
    </row>
    <row r="383" ht="14.25" customHeight="1">
      <c r="D383" s="765"/>
      <c r="G383" s="765"/>
      <c r="H383" s="766"/>
    </row>
    <row r="384" ht="14.25" customHeight="1">
      <c r="D384" s="765"/>
      <c r="G384" s="765"/>
      <c r="H384" s="766"/>
    </row>
    <row r="385" ht="14.25" customHeight="1">
      <c r="D385" s="765"/>
      <c r="G385" s="765"/>
      <c r="H385" s="766"/>
    </row>
    <row r="386" ht="14.25" customHeight="1">
      <c r="D386" s="765"/>
      <c r="G386" s="765"/>
      <c r="H386" s="766"/>
    </row>
    <row r="387" ht="14.25" customHeight="1">
      <c r="D387" s="765"/>
      <c r="G387" s="765"/>
      <c r="H387" s="766"/>
    </row>
    <row r="388" ht="14.25" customHeight="1">
      <c r="D388" s="765"/>
      <c r="G388" s="765"/>
      <c r="H388" s="766"/>
    </row>
    <row r="389" ht="14.25" customHeight="1">
      <c r="D389" s="765"/>
      <c r="G389" s="765"/>
      <c r="H389" s="766"/>
    </row>
    <row r="390" ht="14.25" customHeight="1">
      <c r="D390" s="765"/>
      <c r="G390" s="765"/>
      <c r="H390" s="766"/>
    </row>
    <row r="391" ht="14.25" customHeight="1">
      <c r="D391" s="765"/>
      <c r="G391" s="765"/>
      <c r="H391" s="766"/>
    </row>
    <row r="392" ht="14.25" customHeight="1">
      <c r="D392" s="765"/>
      <c r="G392" s="765"/>
      <c r="H392" s="766"/>
    </row>
    <row r="393" ht="14.25" customHeight="1">
      <c r="D393" s="765"/>
      <c r="G393" s="765"/>
      <c r="H393" s="766"/>
    </row>
    <row r="394" ht="14.25" customHeight="1">
      <c r="D394" s="765"/>
      <c r="G394" s="765"/>
      <c r="H394" s="766"/>
    </row>
    <row r="395" ht="14.25" customHeight="1">
      <c r="D395" s="765"/>
      <c r="G395" s="765"/>
      <c r="H395" s="766"/>
    </row>
    <row r="396" ht="14.25" customHeight="1">
      <c r="D396" s="765"/>
      <c r="G396" s="765"/>
      <c r="H396" s="766"/>
    </row>
    <row r="397" ht="14.25" customHeight="1">
      <c r="D397" s="765"/>
      <c r="G397" s="765"/>
      <c r="H397" s="766"/>
    </row>
    <row r="398" ht="14.25" customHeight="1">
      <c r="D398" s="765"/>
      <c r="G398" s="765"/>
      <c r="H398" s="766"/>
    </row>
    <row r="399" ht="14.25" customHeight="1">
      <c r="D399" s="765"/>
      <c r="G399" s="765"/>
      <c r="H399" s="766"/>
    </row>
    <row r="400" ht="14.25" customHeight="1">
      <c r="D400" s="765"/>
      <c r="G400" s="765"/>
      <c r="H400" s="766"/>
    </row>
    <row r="401" ht="14.25" customHeight="1">
      <c r="D401" s="765"/>
      <c r="G401" s="765"/>
      <c r="H401" s="766"/>
    </row>
    <row r="402" ht="14.25" customHeight="1">
      <c r="D402" s="765"/>
      <c r="G402" s="765"/>
      <c r="H402" s="766"/>
    </row>
    <row r="403" ht="14.25" customHeight="1">
      <c r="D403" s="765"/>
      <c r="G403" s="765"/>
      <c r="H403" s="766"/>
    </row>
    <row r="404" ht="14.25" customHeight="1">
      <c r="D404" s="765"/>
      <c r="G404" s="765"/>
      <c r="H404" s="766"/>
    </row>
    <row r="405" ht="14.25" customHeight="1">
      <c r="D405" s="765"/>
      <c r="G405" s="765"/>
      <c r="H405" s="766"/>
    </row>
    <row r="406" ht="14.25" customHeight="1">
      <c r="D406" s="765"/>
      <c r="G406" s="765"/>
      <c r="H406" s="766"/>
    </row>
    <row r="407" ht="14.25" customHeight="1">
      <c r="D407" s="765"/>
      <c r="G407" s="765"/>
      <c r="H407" s="766"/>
    </row>
    <row r="408" ht="14.25" customHeight="1">
      <c r="D408" s="765"/>
      <c r="G408" s="765"/>
      <c r="H408" s="766"/>
    </row>
    <row r="409" ht="14.25" customHeight="1">
      <c r="D409" s="765"/>
      <c r="G409" s="765"/>
      <c r="H409" s="766"/>
    </row>
    <row r="410" ht="14.25" customHeight="1">
      <c r="D410" s="765"/>
      <c r="G410" s="765"/>
      <c r="H410" s="766"/>
    </row>
    <row r="411" ht="14.25" customHeight="1">
      <c r="D411" s="765"/>
      <c r="G411" s="765"/>
      <c r="H411" s="766"/>
    </row>
    <row r="412" ht="14.25" customHeight="1">
      <c r="D412" s="765"/>
      <c r="G412" s="765"/>
      <c r="H412" s="766"/>
    </row>
    <row r="413" ht="14.25" customHeight="1">
      <c r="D413" s="765"/>
      <c r="G413" s="765"/>
      <c r="H413" s="766"/>
    </row>
    <row r="414" ht="14.25" customHeight="1">
      <c r="D414" s="765"/>
      <c r="G414" s="765"/>
      <c r="H414" s="766"/>
    </row>
    <row r="415" ht="14.25" customHeight="1">
      <c r="D415" s="765"/>
      <c r="G415" s="765"/>
      <c r="H415" s="766"/>
    </row>
    <row r="416" ht="14.25" customHeight="1">
      <c r="D416" s="765"/>
      <c r="G416" s="765"/>
      <c r="H416" s="766"/>
    </row>
    <row r="417" ht="14.25" customHeight="1">
      <c r="D417" s="765"/>
      <c r="G417" s="765"/>
      <c r="H417" s="766"/>
    </row>
    <row r="418" ht="14.25" customHeight="1">
      <c r="D418" s="765"/>
      <c r="G418" s="765"/>
      <c r="H418" s="766"/>
    </row>
    <row r="419" ht="14.25" customHeight="1">
      <c r="D419" s="765"/>
      <c r="G419" s="765"/>
      <c r="H419" s="766"/>
    </row>
    <row r="420" ht="14.25" customHeight="1">
      <c r="D420" s="765"/>
      <c r="G420" s="765"/>
      <c r="H420" s="766"/>
    </row>
    <row r="421" ht="14.25" customHeight="1">
      <c r="D421" s="765"/>
      <c r="G421" s="765"/>
      <c r="H421" s="766"/>
    </row>
    <row r="422" ht="14.25" customHeight="1">
      <c r="D422" s="765"/>
      <c r="G422" s="765"/>
      <c r="H422" s="766"/>
    </row>
    <row r="423" ht="14.25" customHeight="1">
      <c r="D423" s="765"/>
      <c r="G423" s="765"/>
      <c r="H423" s="766"/>
    </row>
    <row r="424" ht="14.25" customHeight="1">
      <c r="D424" s="765"/>
      <c r="G424" s="765"/>
      <c r="H424" s="766"/>
    </row>
    <row r="425" ht="14.25" customHeight="1">
      <c r="D425" s="765"/>
      <c r="G425" s="765"/>
      <c r="H425" s="766"/>
    </row>
    <row r="426" ht="14.25" customHeight="1">
      <c r="D426" s="765"/>
      <c r="G426" s="765"/>
      <c r="H426" s="766"/>
    </row>
    <row r="427" ht="14.25" customHeight="1">
      <c r="D427" s="765"/>
      <c r="G427" s="765"/>
      <c r="H427" s="766"/>
    </row>
    <row r="428" ht="14.25" customHeight="1">
      <c r="D428" s="765"/>
      <c r="G428" s="765"/>
      <c r="H428" s="766"/>
    </row>
    <row r="429" ht="14.25" customHeight="1">
      <c r="D429" s="765"/>
      <c r="G429" s="765"/>
      <c r="H429" s="766"/>
    </row>
    <row r="430" ht="14.25" customHeight="1">
      <c r="D430" s="765"/>
      <c r="G430" s="765"/>
      <c r="H430" s="766"/>
    </row>
    <row r="431" ht="14.25" customHeight="1">
      <c r="D431" s="765"/>
      <c r="G431" s="765"/>
      <c r="H431" s="766"/>
    </row>
    <row r="432" ht="14.25" customHeight="1">
      <c r="D432" s="765"/>
      <c r="G432" s="765"/>
      <c r="H432" s="766"/>
    </row>
    <row r="433" ht="14.25" customHeight="1">
      <c r="D433" s="765"/>
      <c r="G433" s="765"/>
      <c r="H433" s="766"/>
    </row>
    <row r="434" ht="14.25" customHeight="1">
      <c r="D434" s="765"/>
      <c r="G434" s="765"/>
      <c r="H434" s="766"/>
    </row>
    <row r="435" ht="14.25" customHeight="1">
      <c r="D435" s="765"/>
      <c r="G435" s="765"/>
      <c r="H435" s="766"/>
    </row>
    <row r="436" ht="14.25" customHeight="1">
      <c r="D436" s="765"/>
      <c r="G436" s="765"/>
      <c r="H436" s="766"/>
    </row>
    <row r="437" ht="14.25" customHeight="1">
      <c r="D437" s="765"/>
      <c r="G437" s="765"/>
      <c r="H437" s="766"/>
    </row>
    <row r="438" ht="14.25" customHeight="1">
      <c r="D438" s="765"/>
      <c r="G438" s="765"/>
      <c r="H438" s="766"/>
    </row>
    <row r="439" ht="14.25" customHeight="1">
      <c r="D439" s="765"/>
      <c r="G439" s="765"/>
      <c r="H439" s="766"/>
    </row>
    <row r="440" ht="14.25" customHeight="1">
      <c r="D440" s="765"/>
      <c r="G440" s="765"/>
      <c r="H440" s="766"/>
    </row>
    <row r="441" ht="14.25" customHeight="1">
      <c r="D441" s="765"/>
      <c r="G441" s="765"/>
      <c r="H441" s="766"/>
    </row>
    <row r="442" ht="14.25" customHeight="1">
      <c r="D442" s="765"/>
      <c r="G442" s="765"/>
      <c r="H442" s="766"/>
    </row>
    <row r="443" ht="14.25" customHeight="1">
      <c r="D443" s="765"/>
      <c r="G443" s="765"/>
      <c r="H443" s="766"/>
    </row>
    <row r="444" ht="14.25" customHeight="1">
      <c r="D444" s="765"/>
      <c r="G444" s="765"/>
      <c r="H444" s="766"/>
    </row>
    <row r="445" ht="14.25" customHeight="1">
      <c r="D445" s="765"/>
      <c r="G445" s="765"/>
      <c r="H445" s="766"/>
    </row>
    <row r="446" ht="14.25" customHeight="1">
      <c r="D446" s="765"/>
      <c r="G446" s="765"/>
      <c r="H446" s="766"/>
    </row>
    <row r="447" ht="14.25" customHeight="1">
      <c r="D447" s="765"/>
      <c r="G447" s="765"/>
      <c r="H447" s="766"/>
    </row>
    <row r="448" ht="14.25" customHeight="1">
      <c r="D448" s="765"/>
      <c r="G448" s="765"/>
      <c r="H448" s="766"/>
    </row>
    <row r="449" ht="14.25" customHeight="1">
      <c r="D449" s="765"/>
      <c r="G449" s="765"/>
      <c r="H449" s="766"/>
    </row>
    <row r="450" ht="14.25" customHeight="1">
      <c r="D450" s="765"/>
      <c r="G450" s="765"/>
      <c r="H450" s="766"/>
    </row>
    <row r="451" ht="14.25" customHeight="1">
      <c r="D451" s="765"/>
      <c r="G451" s="765"/>
      <c r="H451" s="766"/>
    </row>
    <row r="452" ht="14.25" customHeight="1">
      <c r="D452" s="765"/>
      <c r="G452" s="765"/>
      <c r="H452" s="766"/>
    </row>
    <row r="453" ht="14.25" customHeight="1">
      <c r="D453" s="765"/>
      <c r="G453" s="765"/>
      <c r="H453" s="766"/>
    </row>
    <row r="454" ht="14.25" customHeight="1">
      <c r="D454" s="765"/>
      <c r="G454" s="765"/>
      <c r="H454" s="766"/>
    </row>
    <row r="455" ht="14.25" customHeight="1">
      <c r="D455" s="765"/>
      <c r="G455" s="765"/>
      <c r="H455" s="766"/>
    </row>
    <row r="456" ht="14.25" customHeight="1">
      <c r="D456" s="765"/>
      <c r="G456" s="765"/>
      <c r="H456" s="766"/>
    </row>
    <row r="457" ht="14.25" customHeight="1">
      <c r="D457" s="765"/>
      <c r="G457" s="765"/>
      <c r="H457" s="766"/>
    </row>
    <row r="458" ht="14.25" customHeight="1">
      <c r="D458" s="765"/>
      <c r="G458" s="765"/>
      <c r="H458" s="766"/>
    </row>
    <row r="459" ht="14.25" customHeight="1">
      <c r="D459" s="765"/>
      <c r="G459" s="765"/>
      <c r="H459" s="766"/>
    </row>
    <row r="460" ht="14.25" customHeight="1">
      <c r="D460" s="765"/>
      <c r="G460" s="765"/>
      <c r="H460" s="766"/>
    </row>
    <row r="461" ht="14.25" customHeight="1">
      <c r="D461" s="765"/>
      <c r="G461" s="765"/>
      <c r="H461" s="766"/>
    </row>
    <row r="462" ht="14.25" customHeight="1">
      <c r="D462" s="765"/>
      <c r="G462" s="765"/>
      <c r="H462" s="766"/>
    </row>
    <row r="463" ht="14.25" customHeight="1">
      <c r="D463" s="765"/>
      <c r="G463" s="765"/>
      <c r="H463" s="766"/>
    </row>
    <row r="464" ht="14.25" customHeight="1">
      <c r="D464" s="765"/>
      <c r="G464" s="765"/>
      <c r="H464" s="766"/>
    </row>
    <row r="465" ht="14.25" customHeight="1">
      <c r="D465" s="765"/>
      <c r="G465" s="765"/>
      <c r="H465" s="766"/>
    </row>
    <row r="466" ht="14.25" customHeight="1">
      <c r="D466" s="765"/>
      <c r="G466" s="765"/>
      <c r="H466" s="766"/>
    </row>
    <row r="467" ht="14.25" customHeight="1">
      <c r="D467" s="765"/>
      <c r="G467" s="765"/>
      <c r="H467" s="766"/>
    </row>
    <row r="468" ht="14.25" customHeight="1">
      <c r="D468" s="765"/>
      <c r="G468" s="765"/>
      <c r="H468" s="766"/>
    </row>
    <row r="469" ht="14.25" customHeight="1">
      <c r="D469" s="765"/>
      <c r="G469" s="765"/>
      <c r="H469" s="766"/>
    </row>
    <row r="470" ht="14.25" customHeight="1">
      <c r="D470" s="765"/>
      <c r="G470" s="765"/>
      <c r="H470" s="766"/>
    </row>
    <row r="471" ht="14.25" customHeight="1">
      <c r="D471" s="765"/>
      <c r="G471" s="765"/>
      <c r="H471" s="766"/>
    </row>
    <row r="472" ht="14.25" customHeight="1">
      <c r="D472" s="765"/>
      <c r="G472" s="765"/>
      <c r="H472" s="766"/>
    </row>
    <row r="473" ht="14.25" customHeight="1">
      <c r="D473" s="765"/>
      <c r="G473" s="765"/>
      <c r="H473" s="766"/>
    </row>
    <row r="474" ht="14.25" customHeight="1">
      <c r="D474" s="765"/>
      <c r="G474" s="765"/>
      <c r="H474" s="766"/>
    </row>
    <row r="475" ht="14.25" customHeight="1">
      <c r="D475" s="765"/>
      <c r="G475" s="765"/>
      <c r="H475" s="766"/>
    </row>
    <row r="476" ht="14.25" customHeight="1">
      <c r="D476" s="765"/>
      <c r="G476" s="765"/>
      <c r="H476" s="766"/>
    </row>
    <row r="477" ht="14.25" customHeight="1">
      <c r="D477" s="765"/>
      <c r="G477" s="765"/>
      <c r="H477" s="766"/>
    </row>
    <row r="478" ht="14.25" customHeight="1">
      <c r="D478" s="765"/>
      <c r="G478" s="765"/>
      <c r="H478" s="766"/>
    </row>
    <row r="479" ht="14.25" customHeight="1">
      <c r="D479" s="765"/>
      <c r="G479" s="765"/>
      <c r="H479" s="766"/>
    </row>
    <row r="480" ht="14.25" customHeight="1">
      <c r="D480" s="765"/>
      <c r="G480" s="765"/>
      <c r="H480" s="766"/>
    </row>
    <row r="481" ht="14.25" customHeight="1">
      <c r="D481" s="765"/>
      <c r="G481" s="765"/>
      <c r="H481" s="766"/>
    </row>
    <row r="482" ht="14.25" customHeight="1">
      <c r="D482" s="765"/>
      <c r="G482" s="765"/>
      <c r="H482" s="766"/>
    </row>
    <row r="483" ht="14.25" customHeight="1">
      <c r="D483" s="765"/>
      <c r="G483" s="765"/>
      <c r="H483" s="766"/>
    </row>
    <row r="484" ht="14.25" customHeight="1">
      <c r="D484" s="765"/>
      <c r="G484" s="765"/>
      <c r="H484" s="766"/>
    </row>
    <row r="485" ht="14.25" customHeight="1">
      <c r="D485" s="765"/>
      <c r="G485" s="765"/>
      <c r="H485" s="766"/>
    </row>
    <row r="486" ht="14.25" customHeight="1">
      <c r="D486" s="765"/>
      <c r="G486" s="765"/>
      <c r="H486" s="766"/>
    </row>
    <row r="487" ht="14.25" customHeight="1">
      <c r="D487" s="765"/>
      <c r="G487" s="765"/>
      <c r="H487" s="766"/>
    </row>
    <row r="488" ht="14.25" customHeight="1">
      <c r="D488" s="765"/>
      <c r="G488" s="765"/>
      <c r="H488" s="766"/>
    </row>
    <row r="489" ht="14.25" customHeight="1">
      <c r="D489" s="765"/>
      <c r="G489" s="765"/>
      <c r="H489" s="766"/>
    </row>
    <row r="490" ht="14.25" customHeight="1">
      <c r="D490" s="765"/>
      <c r="G490" s="765"/>
      <c r="H490" s="766"/>
    </row>
    <row r="491" ht="14.25" customHeight="1">
      <c r="D491" s="765"/>
      <c r="G491" s="765"/>
      <c r="H491" s="766"/>
    </row>
    <row r="492" ht="14.25" customHeight="1">
      <c r="D492" s="765"/>
      <c r="G492" s="765"/>
      <c r="H492" s="766"/>
    </row>
    <row r="493" ht="14.25" customHeight="1">
      <c r="D493" s="765"/>
      <c r="G493" s="765"/>
      <c r="H493" s="766"/>
    </row>
    <row r="494" ht="14.25" customHeight="1">
      <c r="D494" s="765"/>
      <c r="G494" s="765"/>
      <c r="H494" s="766"/>
    </row>
    <row r="495" ht="14.25" customHeight="1">
      <c r="D495" s="765"/>
      <c r="G495" s="765"/>
      <c r="H495" s="766"/>
    </row>
    <row r="496" ht="14.25" customHeight="1">
      <c r="D496" s="765"/>
      <c r="G496" s="765"/>
      <c r="H496" s="766"/>
    </row>
    <row r="497" ht="14.25" customHeight="1">
      <c r="D497" s="765"/>
      <c r="G497" s="765"/>
      <c r="H497" s="766"/>
    </row>
    <row r="498" ht="14.25" customHeight="1">
      <c r="D498" s="765"/>
      <c r="G498" s="765"/>
      <c r="H498" s="766"/>
    </row>
    <row r="499" ht="14.25" customHeight="1">
      <c r="D499" s="765"/>
      <c r="G499" s="765"/>
      <c r="H499" s="766"/>
    </row>
    <row r="500" ht="14.25" customHeight="1">
      <c r="D500" s="765"/>
      <c r="G500" s="765"/>
      <c r="H500" s="766"/>
    </row>
    <row r="501" ht="14.25" customHeight="1">
      <c r="D501" s="765"/>
      <c r="G501" s="765"/>
      <c r="H501" s="766"/>
    </row>
    <row r="502" ht="14.25" customHeight="1">
      <c r="D502" s="765"/>
      <c r="G502" s="765"/>
      <c r="H502" s="766"/>
    </row>
    <row r="503" ht="14.25" customHeight="1">
      <c r="D503" s="765"/>
      <c r="G503" s="765"/>
      <c r="H503" s="766"/>
    </row>
    <row r="504" ht="14.25" customHeight="1">
      <c r="D504" s="765"/>
      <c r="G504" s="765"/>
      <c r="H504" s="766"/>
    </row>
    <row r="505" ht="14.25" customHeight="1">
      <c r="D505" s="765"/>
      <c r="G505" s="765"/>
      <c r="H505" s="766"/>
    </row>
    <row r="506" ht="14.25" customHeight="1">
      <c r="D506" s="765"/>
      <c r="G506" s="765"/>
      <c r="H506" s="766"/>
    </row>
    <row r="507" ht="14.25" customHeight="1">
      <c r="D507" s="765"/>
      <c r="G507" s="765"/>
      <c r="H507" s="766"/>
    </row>
    <row r="508" ht="14.25" customHeight="1">
      <c r="D508" s="765"/>
      <c r="G508" s="765"/>
      <c r="H508" s="766"/>
    </row>
    <row r="509" ht="14.25" customHeight="1">
      <c r="D509" s="765"/>
      <c r="G509" s="765"/>
      <c r="H509" s="766"/>
    </row>
    <row r="510" ht="14.25" customHeight="1">
      <c r="D510" s="765"/>
      <c r="G510" s="765"/>
      <c r="H510" s="766"/>
    </row>
    <row r="511" ht="14.25" customHeight="1">
      <c r="D511" s="765"/>
      <c r="G511" s="765"/>
      <c r="H511" s="766"/>
    </row>
    <row r="512" ht="14.25" customHeight="1">
      <c r="D512" s="765"/>
      <c r="G512" s="765"/>
      <c r="H512" s="766"/>
    </row>
    <row r="513" ht="14.25" customHeight="1">
      <c r="D513" s="765"/>
      <c r="G513" s="765"/>
      <c r="H513" s="766"/>
    </row>
    <row r="514" ht="14.25" customHeight="1">
      <c r="D514" s="765"/>
      <c r="G514" s="765"/>
      <c r="H514" s="766"/>
    </row>
    <row r="515" ht="14.25" customHeight="1">
      <c r="D515" s="765"/>
      <c r="G515" s="765"/>
      <c r="H515" s="766"/>
    </row>
    <row r="516" ht="14.25" customHeight="1">
      <c r="D516" s="765"/>
      <c r="G516" s="765"/>
      <c r="H516" s="766"/>
    </row>
    <row r="517" ht="14.25" customHeight="1">
      <c r="D517" s="765"/>
      <c r="G517" s="765"/>
      <c r="H517" s="766"/>
    </row>
    <row r="518" ht="14.25" customHeight="1">
      <c r="D518" s="765"/>
      <c r="G518" s="765"/>
      <c r="H518" s="766"/>
    </row>
    <row r="519" ht="14.25" customHeight="1">
      <c r="D519" s="765"/>
      <c r="G519" s="765"/>
      <c r="H519" s="766"/>
    </row>
    <row r="520" ht="14.25" customHeight="1">
      <c r="D520" s="765"/>
      <c r="G520" s="765"/>
      <c r="H520" s="766"/>
    </row>
    <row r="521" ht="14.25" customHeight="1">
      <c r="D521" s="765"/>
      <c r="G521" s="765"/>
      <c r="H521" s="766"/>
    </row>
    <row r="522" ht="14.25" customHeight="1">
      <c r="D522" s="765"/>
      <c r="G522" s="765"/>
      <c r="H522" s="766"/>
    </row>
    <row r="523" ht="14.25" customHeight="1">
      <c r="D523" s="765"/>
      <c r="G523" s="765"/>
      <c r="H523" s="766"/>
    </row>
    <row r="524" ht="14.25" customHeight="1">
      <c r="D524" s="765"/>
      <c r="G524" s="765"/>
      <c r="H524" s="766"/>
    </row>
    <row r="525" ht="14.25" customHeight="1">
      <c r="D525" s="765"/>
      <c r="G525" s="765"/>
      <c r="H525" s="766"/>
    </row>
    <row r="526" ht="14.25" customHeight="1">
      <c r="D526" s="765"/>
      <c r="G526" s="765"/>
      <c r="H526" s="766"/>
    </row>
    <row r="527" ht="14.25" customHeight="1">
      <c r="D527" s="765"/>
      <c r="G527" s="765"/>
      <c r="H527" s="766"/>
    </row>
    <row r="528" ht="14.25" customHeight="1">
      <c r="D528" s="765"/>
      <c r="G528" s="765"/>
      <c r="H528" s="766"/>
    </row>
    <row r="529" ht="14.25" customHeight="1">
      <c r="D529" s="765"/>
      <c r="G529" s="765"/>
      <c r="H529" s="766"/>
    </row>
    <row r="530" ht="14.25" customHeight="1">
      <c r="D530" s="765"/>
      <c r="G530" s="765"/>
      <c r="H530" s="766"/>
    </row>
    <row r="531" ht="14.25" customHeight="1">
      <c r="D531" s="765"/>
      <c r="G531" s="765"/>
      <c r="H531" s="766"/>
    </row>
    <row r="532" ht="14.25" customHeight="1">
      <c r="D532" s="765"/>
      <c r="G532" s="765"/>
      <c r="H532" s="766"/>
    </row>
    <row r="533" ht="14.25" customHeight="1">
      <c r="D533" s="765"/>
      <c r="G533" s="765"/>
      <c r="H533" s="766"/>
    </row>
    <row r="534" ht="14.25" customHeight="1">
      <c r="D534" s="765"/>
      <c r="G534" s="765"/>
      <c r="H534" s="766"/>
    </row>
    <row r="535" ht="14.25" customHeight="1">
      <c r="D535" s="765"/>
      <c r="G535" s="765"/>
      <c r="H535" s="766"/>
    </row>
    <row r="536" ht="14.25" customHeight="1">
      <c r="D536" s="765"/>
      <c r="G536" s="765"/>
      <c r="H536" s="766"/>
    </row>
    <row r="537" ht="14.25" customHeight="1">
      <c r="D537" s="765"/>
      <c r="G537" s="765"/>
      <c r="H537" s="766"/>
    </row>
    <row r="538" ht="14.25" customHeight="1">
      <c r="D538" s="765"/>
      <c r="G538" s="765"/>
      <c r="H538" s="766"/>
    </row>
    <row r="539" ht="14.25" customHeight="1">
      <c r="D539" s="765"/>
      <c r="G539" s="765"/>
      <c r="H539" s="766"/>
    </row>
    <row r="540" ht="14.25" customHeight="1">
      <c r="D540" s="765"/>
      <c r="G540" s="765"/>
      <c r="H540" s="766"/>
    </row>
    <row r="541" ht="14.25" customHeight="1">
      <c r="D541" s="765"/>
      <c r="G541" s="765"/>
      <c r="H541" s="766"/>
    </row>
    <row r="542" ht="14.25" customHeight="1">
      <c r="D542" s="765"/>
      <c r="G542" s="765"/>
      <c r="H542" s="766"/>
    </row>
    <row r="543" ht="14.25" customHeight="1">
      <c r="D543" s="765"/>
      <c r="G543" s="765"/>
      <c r="H543" s="766"/>
    </row>
    <row r="544" ht="14.25" customHeight="1">
      <c r="D544" s="765"/>
      <c r="G544" s="765"/>
      <c r="H544" s="766"/>
    </row>
    <row r="545" ht="14.25" customHeight="1">
      <c r="D545" s="765"/>
      <c r="G545" s="765"/>
      <c r="H545" s="766"/>
    </row>
    <row r="546" ht="14.25" customHeight="1">
      <c r="D546" s="765"/>
      <c r="G546" s="765"/>
      <c r="H546" s="766"/>
    </row>
    <row r="547" ht="14.25" customHeight="1">
      <c r="D547" s="765"/>
      <c r="G547" s="765"/>
      <c r="H547" s="766"/>
    </row>
    <row r="548" ht="14.25" customHeight="1">
      <c r="D548" s="765"/>
      <c r="G548" s="765"/>
      <c r="H548" s="766"/>
    </row>
    <row r="549" ht="14.25" customHeight="1">
      <c r="D549" s="765"/>
      <c r="G549" s="765"/>
      <c r="H549" s="766"/>
    </row>
    <row r="550" ht="14.25" customHeight="1">
      <c r="D550" s="765"/>
      <c r="G550" s="765"/>
      <c r="H550" s="766"/>
    </row>
    <row r="551" ht="14.25" customHeight="1">
      <c r="D551" s="765"/>
      <c r="G551" s="765"/>
      <c r="H551" s="766"/>
    </row>
    <row r="552" ht="14.25" customHeight="1">
      <c r="D552" s="765"/>
      <c r="G552" s="765"/>
      <c r="H552" s="766"/>
    </row>
    <row r="553" ht="14.25" customHeight="1">
      <c r="D553" s="765"/>
      <c r="G553" s="765"/>
      <c r="H553" s="766"/>
    </row>
    <row r="554" ht="14.25" customHeight="1">
      <c r="D554" s="765"/>
      <c r="G554" s="765"/>
      <c r="H554" s="766"/>
    </row>
    <row r="555" ht="14.25" customHeight="1">
      <c r="D555" s="765"/>
      <c r="G555" s="765"/>
      <c r="H555" s="766"/>
    </row>
    <row r="556" ht="14.25" customHeight="1">
      <c r="D556" s="765"/>
      <c r="G556" s="765"/>
      <c r="H556" s="766"/>
    </row>
    <row r="557" ht="14.25" customHeight="1">
      <c r="D557" s="765"/>
      <c r="G557" s="765"/>
      <c r="H557" s="766"/>
    </row>
    <row r="558" ht="14.25" customHeight="1">
      <c r="D558" s="765"/>
      <c r="G558" s="765"/>
      <c r="H558" s="766"/>
    </row>
    <row r="559" ht="14.25" customHeight="1">
      <c r="D559" s="765"/>
      <c r="G559" s="765"/>
      <c r="H559" s="766"/>
    </row>
    <row r="560" ht="14.25" customHeight="1">
      <c r="D560" s="765"/>
      <c r="G560" s="765"/>
      <c r="H560" s="766"/>
    </row>
    <row r="561" ht="14.25" customHeight="1">
      <c r="D561" s="765"/>
      <c r="G561" s="765"/>
      <c r="H561" s="766"/>
    </row>
    <row r="562" ht="14.25" customHeight="1">
      <c r="D562" s="765"/>
      <c r="G562" s="765"/>
      <c r="H562" s="766"/>
    </row>
    <row r="563" ht="14.25" customHeight="1">
      <c r="D563" s="765"/>
      <c r="G563" s="765"/>
      <c r="H563" s="766"/>
    </row>
    <row r="564" ht="14.25" customHeight="1">
      <c r="D564" s="765"/>
      <c r="G564" s="765"/>
      <c r="H564" s="766"/>
    </row>
    <row r="565" ht="14.25" customHeight="1">
      <c r="D565" s="765"/>
      <c r="G565" s="765"/>
      <c r="H565" s="766"/>
    </row>
    <row r="566" ht="14.25" customHeight="1">
      <c r="D566" s="765"/>
      <c r="G566" s="765"/>
      <c r="H566" s="766"/>
    </row>
    <row r="567" ht="14.25" customHeight="1">
      <c r="D567" s="765"/>
      <c r="G567" s="765"/>
      <c r="H567" s="766"/>
    </row>
    <row r="568" ht="14.25" customHeight="1">
      <c r="D568" s="765"/>
      <c r="G568" s="765"/>
      <c r="H568" s="766"/>
    </row>
    <row r="569" ht="14.25" customHeight="1">
      <c r="D569" s="765"/>
      <c r="G569" s="765"/>
      <c r="H569" s="766"/>
    </row>
    <row r="570" ht="14.25" customHeight="1">
      <c r="D570" s="765"/>
      <c r="G570" s="765"/>
      <c r="H570" s="766"/>
    </row>
    <row r="571" ht="14.25" customHeight="1">
      <c r="D571" s="765"/>
      <c r="G571" s="765"/>
      <c r="H571" s="766"/>
    </row>
    <row r="572" ht="14.25" customHeight="1">
      <c r="D572" s="765"/>
      <c r="G572" s="765"/>
      <c r="H572" s="766"/>
    </row>
    <row r="573" ht="14.25" customHeight="1">
      <c r="D573" s="765"/>
      <c r="G573" s="765"/>
      <c r="H573" s="766"/>
    </row>
    <row r="574" ht="14.25" customHeight="1">
      <c r="D574" s="765"/>
      <c r="G574" s="765"/>
      <c r="H574" s="766"/>
    </row>
    <row r="575" ht="14.25" customHeight="1">
      <c r="D575" s="765"/>
      <c r="G575" s="765"/>
      <c r="H575" s="766"/>
    </row>
    <row r="576" ht="14.25" customHeight="1">
      <c r="D576" s="765"/>
      <c r="G576" s="765"/>
      <c r="H576" s="766"/>
    </row>
    <row r="577" ht="14.25" customHeight="1">
      <c r="D577" s="765"/>
      <c r="G577" s="765"/>
      <c r="H577" s="766"/>
    </row>
    <row r="578" ht="14.25" customHeight="1">
      <c r="D578" s="765"/>
      <c r="G578" s="765"/>
      <c r="H578" s="766"/>
    </row>
    <row r="579" ht="14.25" customHeight="1">
      <c r="D579" s="765"/>
      <c r="G579" s="765"/>
      <c r="H579" s="766"/>
    </row>
    <row r="580" ht="14.25" customHeight="1">
      <c r="D580" s="765"/>
      <c r="G580" s="765"/>
      <c r="H580" s="766"/>
    </row>
    <row r="581" ht="14.25" customHeight="1">
      <c r="D581" s="765"/>
      <c r="G581" s="765"/>
      <c r="H581" s="766"/>
    </row>
    <row r="582" ht="14.25" customHeight="1">
      <c r="D582" s="765"/>
      <c r="G582" s="765"/>
      <c r="H582" s="766"/>
    </row>
    <row r="583" ht="14.25" customHeight="1">
      <c r="D583" s="765"/>
      <c r="G583" s="765"/>
      <c r="H583" s="766"/>
    </row>
    <row r="584" ht="14.25" customHeight="1">
      <c r="D584" s="765"/>
      <c r="G584" s="765"/>
      <c r="H584" s="766"/>
    </row>
    <row r="585" ht="14.25" customHeight="1">
      <c r="D585" s="765"/>
      <c r="G585" s="765"/>
      <c r="H585" s="766"/>
    </row>
    <row r="586" ht="14.25" customHeight="1">
      <c r="D586" s="765"/>
      <c r="G586" s="765"/>
      <c r="H586" s="766"/>
    </row>
    <row r="587" ht="14.25" customHeight="1">
      <c r="D587" s="765"/>
      <c r="G587" s="765"/>
      <c r="H587" s="766"/>
    </row>
    <row r="588" ht="14.25" customHeight="1">
      <c r="D588" s="765"/>
      <c r="G588" s="765"/>
      <c r="H588" s="766"/>
    </row>
    <row r="589" ht="14.25" customHeight="1">
      <c r="D589" s="765"/>
      <c r="G589" s="765"/>
      <c r="H589" s="766"/>
    </row>
    <row r="590" ht="14.25" customHeight="1">
      <c r="D590" s="765"/>
      <c r="G590" s="765"/>
      <c r="H590" s="766"/>
    </row>
    <row r="591" ht="14.25" customHeight="1">
      <c r="D591" s="765"/>
      <c r="G591" s="765"/>
      <c r="H591" s="766"/>
    </row>
    <row r="592" ht="14.25" customHeight="1">
      <c r="D592" s="765"/>
      <c r="G592" s="765"/>
      <c r="H592" s="766"/>
    </row>
    <row r="593" ht="14.25" customHeight="1">
      <c r="D593" s="765"/>
      <c r="G593" s="765"/>
      <c r="H593" s="766"/>
    </row>
    <row r="594" ht="14.25" customHeight="1">
      <c r="D594" s="765"/>
      <c r="G594" s="765"/>
      <c r="H594" s="766"/>
    </row>
    <row r="595" ht="14.25" customHeight="1">
      <c r="D595" s="765"/>
      <c r="G595" s="765"/>
      <c r="H595" s="766"/>
    </row>
    <row r="596" ht="14.25" customHeight="1">
      <c r="D596" s="765"/>
      <c r="G596" s="765"/>
      <c r="H596" s="766"/>
    </row>
    <row r="597" ht="14.25" customHeight="1">
      <c r="D597" s="765"/>
      <c r="G597" s="765"/>
      <c r="H597" s="766"/>
    </row>
    <row r="598" ht="14.25" customHeight="1">
      <c r="D598" s="765"/>
      <c r="G598" s="765"/>
      <c r="H598" s="766"/>
    </row>
    <row r="599" ht="14.25" customHeight="1">
      <c r="D599" s="765"/>
      <c r="G599" s="765"/>
      <c r="H599" s="766"/>
    </row>
    <row r="600" ht="14.25" customHeight="1">
      <c r="D600" s="765"/>
      <c r="G600" s="765"/>
      <c r="H600" s="766"/>
    </row>
    <row r="601" ht="14.25" customHeight="1">
      <c r="D601" s="765"/>
      <c r="G601" s="765"/>
      <c r="H601" s="766"/>
    </row>
    <row r="602" ht="14.25" customHeight="1">
      <c r="D602" s="765"/>
      <c r="G602" s="765"/>
      <c r="H602" s="766"/>
    </row>
    <row r="603" ht="14.25" customHeight="1">
      <c r="D603" s="765"/>
      <c r="G603" s="765"/>
      <c r="H603" s="766"/>
    </row>
    <row r="604" ht="14.25" customHeight="1">
      <c r="D604" s="765"/>
      <c r="G604" s="765"/>
      <c r="H604" s="766"/>
    </row>
    <row r="605" ht="14.25" customHeight="1">
      <c r="D605" s="765"/>
      <c r="G605" s="765"/>
      <c r="H605" s="766"/>
    </row>
    <row r="606" ht="14.25" customHeight="1">
      <c r="D606" s="765"/>
      <c r="G606" s="765"/>
      <c r="H606" s="766"/>
    </row>
    <row r="607" ht="14.25" customHeight="1">
      <c r="D607" s="765"/>
      <c r="G607" s="765"/>
      <c r="H607" s="766"/>
    </row>
    <row r="608" ht="14.25" customHeight="1">
      <c r="D608" s="765"/>
      <c r="G608" s="765"/>
      <c r="H608" s="766"/>
    </row>
    <row r="609" ht="14.25" customHeight="1">
      <c r="D609" s="765"/>
      <c r="G609" s="765"/>
      <c r="H609" s="766"/>
    </row>
    <row r="610" ht="14.25" customHeight="1">
      <c r="D610" s="765"/>
      <c r="G610" s="765"/>
      <c r="H610" s="766"/>
    </row>
    <row r="611" ht="14.25" customHeight="1">
      <c r="D611" s="765"/>
      <c r="G611" s="765"/>
      <c r="H611" s="766"/>
    </row>
    <row r="612" ht="14.25" customHeight="1">
      <c r="D612" s="765"/>
      <c r="G612" s="765"/>
      <c r="H612" s="766"/>
    </row>
    <row r="613" ht="14.25" customHeight="1">
      <c r="D613" s="765"/>
      <c r="G613" s="765"/>
      <c r="H613" s="766"/>
    </row>
    <row r="614" ht="14.25" customHeight="1">
      <c r="D614" s="765"/>
      <c r="G614" s="765"/>
      <c r="H614" s="766"/>
    </row>
    <row r="615" ht="14.25" customHeight="1">
      <c r="D615" s="765"/>
      <c r="G615" s="765"/>
      <c r="H615" s="766"/>
    </row>
    <row r="616" ht="14.25" customHeight="1">
      <c r="D616" s="765"/>
      <c r="G616" s="765"/>
      <c r="H616" s="766"/>
    </row>
    <row r="617" ht="14.25" customHeight="1">
      <c r="D617" s="765"/>
      <c r="G617" s="765"/>
      <c r="H617" s="766"/>
    </row>
    <row r="618" ht="14.25" customHeight="1">
      <c r="D618" s="765"/>
      <c r="G618" s="765"/>
      <c r="H618" s="766"/>
    </row>
    <row r="619" ht="14.25" customHeight="1">
      <c r="D619" s="765"/>
      <c r="G619" s="765"/>
      <c r="H619" s="766"/>
    </row>
    <row r="620" ht="14.25" customHeight="1">
      <c r="D620" s="765"/>
      <c r="G620" s="765"/>
      <c r="H620" s="766"/>
    </row>
    <row r="621" ht="14.25" customHeight="1">
      <c r="D621" s="765"/>
      <c r="G621" s="765"/>
      <c r="H621" s="766"/>
    </row>
    <row r="622" ht="14.25" customHeight="1">
      <c r="D622" s="765"/>
      <c r="G622" s="765"/>
      <c r="H622" s="766"/>
    </row>
    <row r="623" ht="14.25" customHeight="1">
      <c r="D623" s="765"/>
      <c r="G623" s="765"/>
      <c r="H623" s="766"/>
    </row>
    <row r="624" ht="14.25" customHeight="1">
      <c r="D624" s="765"/>
      <c r="G624" s="765"/>
      <c r="H624" s="766"/>
    </row>
    <row r="625" ht="14.25" customHeight="1">
      <c r="D625" s="765"/>
      <c r="G625" s="765"/>
      <c r="H625" s="766"/>
    </row>
    <row r="626" ht="14.25" customHeight="1">
      <c r="D626" s="765"/>
      <c r="G626" s="765"/>
      <c r="H626" s="766"/>
    </row>
    <row r="627" ht="14.25" customHeight="1">
      <c r="D627" s="765"/>
      <c r="G627" s="765"/>
      <c r="H627" s="766"/>
    </row>
    <row r="628" ht="14.25" customHeight="1">
      <c r="D628" s="765"/>
      <c r="G628" s="765"/>
      <c r="H628" s="766"/>
    </row>
    <row r="629" ht="14.25" customHeight="1">
      <c r="D629" s="765"/>
      <c r="G629" s="765"/>
      <c r="H629" s="766"/>
    </row>
    <row r="630" ht="14.25" customHeight="1">
      <c r="D630" s="765"/>
      <c r="G630" s="765"/>
      <c r="H630" s="766"/>
    </row>
    <row r="631" ht="14.25" customHeight="1">
      <c r="D631" s="765"/>
      <c r="G631" s="765"/>
      <c r="H631" s="766"/>
    </row>
    <row r="632" ht="14.25" customHeight="1">
      <c r="D632" s="765"/>
      <c r="G632" s="765"/>
      <c r="H632" s="766"/>
    </row>
    <row r="633" ht="14.25" customHeight="1">
      <c r="D633" s="765"/>
      <c r="G633" s="765"/>
      <c r="H633" s="766"/>
    </row>
    <row r="634" ht="14.25" customHeight="1">
      <c r="D634" s="765"/>
      <c r="G634" s="765"/>
      <c r="H634" s="766"/>
    </row>
    <row r="635" ht="14.25" customHeight="1">
      <c r="D635" s="765"/>
      <c r="G635" s="765"/>
      <c r="H635" s="766"/>
    </row>
    <row r="636" ht="14.25" customHeight="1">
      <c r="D636" s="765"/>
      <c r="G636" s="765"/>
      <c r="H636" s="766"/>
    </row>
    <row r="637" ht="14.25" customHeight="1">
      <c r="D637" s="765"/>
      <c r="G637" s="765"/>
      <c r="H637" s="766"/>
    </row>
    <row r="638" ht="14.25" customHeight="1">
      <c r="D638" s="765"/>
      <c r="G638" s="765"/>
      <c r="H638" s="766"/>
    </row>
    <row r="639" ht="14.25" customHeight="1">
      <c r="D639" s="765"/>
      <c r="G639" s="765"/>
      <c r="H639" s="766"/>
    </row>
    <row r="640" ht="14.25" customHeight="1">
      <c r="D640" s="765"/>
      <c r="G640" s="765"/>
      <c r="H640" s="766"/>
    </row>
    <row r="641" ht="14.25" customHeight="1">
      <c r="D641" s="765"/>
      <c r="G641" s="765"/>
      <c r="H641" s="766"/>
    </row>
    <row r="642" ht="14.25" customHeight="1">
      <c r="D642" s="765"/>
      <c r="G642" s="765"/>
      <c r="H642" s="766"/>
    </row>
    <row r="643" ht="14.25" customHeight="1">
      <c r="D643" s="765"/>
      <c r="G643" s="765"/>
      <c r="H643" s="766"/>
    </row>
    <row r="644" ht="14.25" customHeight="1">
      <c r="D644" s="765"/>
      <c r="G644" s="765"/>
      <c r="H644" s="766"/>
    </row>
    <row r="645" ht="14.25" customHeight="1">
      <c r="D645" s="765"/>
      <c r="G645" s="765"/>
      <c r="H645" s="766"/>
    </row>
    <row r="646" ht="14.25" customHeight="1">
      <c r="D646" s="765"/>
      <c r="G646" s="765"/>
      <c r="H646" s="766"/>
    </row>
    <row r="647" ht="14.25" customHeight="1">
      <c r="D647" s="765"/>
      <c r="G647" s="765"/>
      <c r="H647" s="766"/>
    </row>
    <row r="648" ht="14.25" customHeight="1">
      <c r="D648" s="765"/>
      <c r="G648" s="765"/>
      <c r="H648" s="766"/>
    </row>
    <row r="649" ht="14.25" customHeight="1">
      <c r="D649" s="765"/>
      <c r="G649" s="765"/>
      <c r="H649" s="766"/>
    </row>
    <row r="650" ht="14.25" customHeight="1">
      <c r="D650" s="765"/>
      <c r="G650" s="765"/>
      <c r="H650" s="766"/>
    </row>
    <row r="651" ht="14.25" customHeight="1">
      <c r="D651" s="765"/>
      <c r="G651" s="765"/>
      <c r="H651" s="766"/>
    </row>
    <row r="652" ht="14.25" customHeight="1">
      <c r="D652" s="765"/>
      <c r="G652" s="765"/>
      <c r="H652" s="766"/>
    </row>
    <row r="653" ht="14.25" customHeight="1">
      <c r="D653" s="765"/>
      <c r="G653" s="765"/>
      <c r="H653" s="766"/>
    </row>
    <row r="654" ht="14.25" customHeight="1">
      <c r="D654" s="765"/>
      <c r="G654" s="765"/>
      <c r="H654" s="766"/>
    </row>
    <row r="655" ht="14.25" customHeight="1">
      <c r="D655" s="765"/>
      <c r="G655" s="765"/>
      <c r="H655" s="766"/>
    </row>
    <row r="656" ht="14.25" customHeight="1">
      <c r="D656" s="765"/>
      <c r="G656" s="765"/>
      <c r="H656" s="766"/>
    </row>
    <row r="657" ht="14.25" customHeight="1">
      <c r="D657" s="765"/>
      <c r="G657" s="765"/>
      <c r="H657" s="766"/>
    </row>
    <row r="658" ht="14.25" customHeight="1">
      <c r="D658" s="765"/>
      <c r="G658" s="765"/>
      <c r="H658" s="766"/>
    </row>
    <row r="659" ht="14.25" customHeight="1">
      <c r="D659" s="765"/>
      <c r="G659" s="765"/>
      <c r="H659" s="766"/>
    </row>
    <row r="660" ht="14.25" customHeight="1">
      <c r="D660" s="765"/>
      <c r="G660" s="765"/>
      <c r="H660" s="766"/>
    </row>
    <row r="661" ht="14.25" customHeight="1">
      <c r="D661" s="765"/>
      <c r="G661" s="765"/>
      <c r="H661" s="766"/>
    </row>
    <row r="662" ht="14.25" customHeight="1">
      <c r="D662" s="765"/>
      <c r="G662" s="765"/>
      <c r="H662" s="766"/>
    </row>
    <row r="663" ht="14.25" customHeight="1">
      <c r="D663" s="765"/>
      <c r="G663" s="765"/>
      <c r="H663" s="766"/>
    </row>
    <row r="664" ht="14.25" customHeight="1">
      <c r="D664" s="765"/>
      <c r="G664" s="765"/>
      <c r="H664" s="766"/>
    </row>
    <row r="665" ht="14.25" customHeight="1">
      <c r="D665" s="765"/>
      <c r="G665" s="765"/>
      <c r="H665" s="766"/>
    </row>
    <row r="666" ht="14.25" customHeight="1">
      <c r="D666" s="765"/>
      <c r="G666" s="765"/>
      <c r="H666" s="766"/>
    </row>
    <row r="667" ht="14.25" customHeight="1">
      <c r="D667" s="765"/>
      <c r="G667" s="765"/>
      <c r="H667" s="766"/>
    </row>
    <row r="668" ht="14.25" customHeight="1">
      <c r="D668" s="765"/>
      <c r="G668" s="765"/>
      <c r="H668" s="766"/>
    </row>
    <row r="669" ht="14.25" customHeight="1">
      <c r="D669" s="765"/>
      <c r="G669" s="765"/>
      <c r="H669" s="766"/>
    </row>
    <row r="670" ht="14.25" customHeight="1">
      <c r="D670" s="765"/>
      <c r="G670" s="765"/>
      <c r="H670" s="766"/>
    </row>
    <row r="671" ht="14.25" customHeight="1">
      <c r="D671" s="765"/>
      <c r="G671" s="765"/>
      <c r="H671" s="766"/>
    </row>
    <row r="672" ht="14.25" customHeight="1">
      <c r="D672" s="765"/>
      <c r="G672" s="765"/>
      <c r="H672" s="766"/>
    </row>
    <row r="673" ht="14.25" customHeight="1">
      <c r="D673" s="765"/>
      <c r="G673" s="765"/>
      <c r="H673" s="766"/>
    </row>
    <row r="674" ht="14.25" customHeight="1">
      <c r="D674" s="765"/>
      <c r="G674" s="765"/>
      <c r="H674" s="766"/>
    </row>
    <row r="675" ht="14.25" customHeight="1">
      <c r="D675" s="765"/>
      <c r="G675" s="765"/>
      <c r="H675" s="766"/>
    </row>
    <row r="676" ht="14.25" customHeight="1">
      <c r="D676" s="765"/>
      <c r="G676" s="765"/>
      <c r="H676" s="766"/>
    </row>
    <row r="677" ht="14.25" customHeight="1">
      <c r="D677" s="765"/>
      <c r="G677" s="765"/>
      <c r="H677" s="766"/>
    </row>
    <row r="678" ht="14.25" customHeight="1">
      <c r="D678" s="765"/>
      <c r="G678" s="765"/>
      <c r="H678" s="766"/>
    </row>
    <row r="679" ht="14.25" customHeight="1">
      <c r="D679" s="765"/>
      <c r="G679" s="765"/>
      <c r="H679" s="766"/>
    </row>
    <row r="680" ht="14.25" customHeight="1">
      <c r="D680" s="765"/>
      <c r="G680" s="765"/>
      <c r="H680" s="766"/>
    </row>
    <row r="681" ht="14.25" customHeight="1">
      <c r="D681" s="765"/>
      <c r="G681" s="765"/>
      <c r="H681" s="766"/>
    </row>
    <row r="682" ht="14.25" customHeight="1">
      <c r="D682" s="765"/>
      <c r="G682" s="765"/>
      <c r="H682" s="766"/>
    </row>
    <row r="683" ht="14.25" customHeight="1">
      <c r="D683" s="765"/>
      <c r="G683" s="765"/>
      <c r="H683" s="766"/>
    </row>
    <row r="684" ht="14.25" customHeight="1">
      <c r="D684" s="765"/>
      <c r="G684" s="765"/>
      <c r="H684" s="766"/>
    </row>
    <row r="685" ht="14.25" customHeight="1">
      <c r="D685" s="765"/>
      <c r="G685" s="765"/>
      <c r="H685" s="766"/>
    </row>
    <row r="686" ht="14.25" customHeight="1">
      <c r="D686" s="765"/>
      <c r="G686" s="765"/>
      <c r="H686" s="766"/>
    </row>
    <row r="687" ht="14.25" customHeight="1">
      <c r="D687" s="765"/>
      <c r="G687" s="765"/>
      <c r="H687" s="766"/>
    </row>
    <row r="688" ht="14.25" customHeight="1">
      <c r="D688" s="765"/>
      <c r="G688" s="765"/>
      <c r="H688" s="766"/>
    </row>
    <row r="689" ht="14.25" customHeight="1">
      <c r="D689" s="765"/>
      <c r="G689" s="765"/>
      <c r="H689" s="766"/>
    </row>
    <row r="690" ht="14.25" customHeight="1">
      <c r="D690" s="765"/>
      <c r="G690" s="765"/>
      <c r="H690" s="766"/>
    </row>
    <row r="691" ht="14.25" customHeight="1">
      <c r="D691" s="765"/>
      <c r="G691" s="765"/>
      <c r="H691" s="766"/>
    </row>
    <row r="692" ht="14.25" customHeight="1">
      <c r="D692" s="765"/>
      <c r="G692" s="765"/>
      <c r="H692" s="766"/>
    </row>
    <row r="693" ht="14.25" customHeight="1">
      <c r="D693" s="765"/>
      <c r="G693" s="765"/>
      <c r="H693" s="766"/>
    </row>
    <row r="694" ht="14.25" customHeight="1">
      <c r="D694" s="765"/>
      <c r="G694" s="765"/>
      <c r="H694" s="766"/>
    </row>
    <row r="695" ht="14.25" customHeight="1">
      <c r="D695" s="765"/>
      <c r="G695" s="765"/>
      <c r="H695" s="766"/>
    </row>
    <row r="696" ht="14.25" customHeight="1">
      <c r="D696" s="765"/>
      <c r="G696" s="765"/>
      <c r="H696" s="766"/>
    </row>
    <row r="697" ht="14.25" customHeight="1">
      <c r="D697" s="765"/>
      <c r="G697" s="765"/>
      <c r="H697" s="766"/>
    </row>
    <row r="698" ht="14.25" customHeight="1">
      <c r="D698" s="765"/>
      <c r="G698" s="765"/>
      <c r="H698" s="766"/>
    </row>
    <row r="699" ht="14.25" customHeight="1">
      <c r="D699" s="765"/>
      <c r="G699" s="765"/>
      <c r="H699" s="766"/>
    </row>
    <row r="700" ht="14.25" customHeight="1">
      <c r="D700" s="765"/>
      <c r="G700" s="765"/>
      <c r="H700" s="766"/>
    </row>
    <row r="701" ht="14.25" customHeight="1">
      <c r="D701" s="765"/>
      <c r="G701" s="765"/>
      <c r="H701" s="766"/>
    </row>
    <row r="702" ht="14.25" customHeight="1">
      <c r="D702" s="765"/>
      <c r="G702" s="765"/>
      <c r="H702" s="766"/>
    </row>
    <row r="703" ht="14.25" customHeight="1">
      <c r="D703" s="765"/>
      <c r="G703" s="765"/>
      <c r="H703" s="766"/>
    </row>
    <row r="704" ht="14.25" customHeight="1">
      <c r="D704" s="765"/>
      <c r="G704" s="765"/>
      <c r="H704" s="766"/>
    </row>
    <row r="705" ht="14.25" customHeight="1">
      <c r="D705" s="765"/>
      <c r="G705" s="765"/>
      <c r="H705" s="766"/>
    </row>
    <row r="706" ht="14.25" customHeight="1">
      <c r="D706" s="765"/>
      <c r="G706" s="765"/>
      <c r="H706" s="766"/>
    </row>
    <row r="707" ht="14.25" customHeight="1">
      <c r="D707" s="765"/>
      <c r="G707" s="765"/>
      <c r="H707" s="766"/>
    </row>
    <row r="708" ht="14.25" customHeight="1">
      <c r="D708" s="765"/>
      <c r="G708" s="765"/>
      <c r="H708" s="766"/>
    </row>
    <row r="709" ht="14.25" customHeight="1">
      <c r="D709" s="765"/>
      <c r="G709" s="765"/>
      <c r="H709" s="766"/>
    </row>
    <row r="710" ht="14.25" customHeight="1">
      <c r="D710" s="765"/>
      <c r="G710" s="765"/>
      <c r="H710" s="766"/>
    </row>
    <row r="711" ht="14.25" customHeight="1">
      <c r="D711" s="765"/>
      <c r="G711" s="765"/>
      <c r="H711" s="766"/>
    </row>
    <row r="712" ht="14.25" customHeight="1">
      <c r="D712" s="765"/>
      <c r="G712" s="765"/>
      <c r="H712" s="766"/>
    </row>
    <row r="713" ht="14.25" customHeight="1">
      <c r="D713" s="765"/>
      <c r="G713" s="765"/>
      <c r="H713" s="766"/>
    </row>
    <row r="714" ht="14.25" customHeight="1">
      <c r="D714" s="765"/>
      <c r="G714" s="765"/>
      <c r="H714" s="766"/>
    </row>
    <row r="715" ht="14.25" customHeight="1">
      <c r="D715" s="765"/>
      <c r="G715" s="765"/>
      <c r="H715" s="766"/>
    </row>
    <row r="716" ht="14.25" customHeight="1">
      <c r="D716" s="765"/>
      <c r="G716" s="765"/>
      <c r="H716" s="766"/>
    </row>
    <row r="717" ht="14.25" customHeight="1">
      <c r="D717" s="765"/>
      <c r="G717" s="765"/>
      <c r="H717" s="766"/>
    </row>
    <row r="718" ht="14.25" customHeight="1">
      <c r="D718" s="765"/>
      <c r="G718" s="765"/>
      <c r="H718" s="766"/>
    </row>
    <row r="719" ht="14.25" customHeight="1">
      <c r="D719" s="765"/>
      <c r="G719" s="765"/>
      <c r="H719" s="766"/>
    </row>
    <row r="720" ht="14.25" customHeight="1">
      <c r="D720" s="765"/>
      <c r="G720" s="765"/>
      <c r="H720" s="766"/>
    </row>
    <row r="721" ht="14.25" customHeight="1">
      <c r="D721" s="765"/>
      <c r="G721" s="765"/>
      <c r="H721" s="766"/>
    </row>
    <row r="722" ht="14.25" customHeight="1">
      <c r="D722" s="765"/>
      <c r="G722" s="765"/>
      <c r="H722" s="766"/>
    </row>
    <row r="723" ht="14.25" customHeight="1">
      <c r="D723" s="765"/>
      <c r="G723" s="765"/>
      <c r="H723" s="766"/>
    </row>
    <row r="724" ht="14.25" customHeight="1">
      <c r="D724" s="765"/>
      <c r="G724" s="765"/>
      <c r="H724" s="766"/>
    </row>
    <row r="725" ht="14.25" customHeight="1">
      <c r="D725" s="765"/>
      <c r="G725" s="765"/>
      <c r="H725" s="766"/>
    </row>
    <row r="726" ht="14.25" customHeight="1">
      <c r="D726" s="765"/>
      <c r="G726" s="765"/>
      <c r="H726" s="766"/>
    </row>
    <row r="727" ht="14.25" customHeight="1">
      <c r="D727" s="765"/>
      <c r="G727" s="765"/>
      <c r="H727" s="766"/>
    </row>
    <row r="728" ht="14.25" customHeight="1">
      <c r="D728" s="765"/>
      <c r="G728" s="765"/>
      <c r="H728" s="766"/>
    </row>
    <row r="729" ht="14.25" customHeight="1">
      <c r="D729" s="765"/>
      <c r="G729" s="765"/>
      <c r="H729" s="766"/>
    </row>
    <row r="730" ht="14.25" customHeight="1">
      <c r="D730" s="765"/>
      <c r="G730" s="765"/>
      <c r="H730" s="766"/>
    </row>
    <row r="731" ht="14.25" customHeight="1">
      <c r="D731" s="765"/>
      <c r="G731" s="765"/>
      <c r="H731" s="766"/>
    </row>
    <row r="732" ht="14.25" customHeight="1">
      <c r="D732" s="765"/>
      <c r="G732" s="765"/>
      <c r="H732" s="766"/>
    </row>
    <row r="733" ht="14.25" customHeight="1">
      <c r="D733" s="765"/>
      <c r="G733" s="765"/>
      <c r="H733" s="766"/>
    </row>
    <row r="734" ht="14.25" customHeight="1">
      <c r="D734" s="765"/>
      <c r="G734" s="765"/>
      <c r="H734" s="766"/>
    </row>
    <row r="735" ht="14.25" customHeight="1">
      <c r="D735" s="765"/>
      <c r="G735" s="765"/>
      <c r="H735" s="766"/>
    </row>
    <row r="736" ht="14.25" customHeight="1">
      <c r="D736" s="765"/>
      <c r="G736" s="765"/>
      <c r="H736" s="766"/>
    </row>
    <row r="737" ht="14.25" customHeight="1">
      <c r="D737" s="765"/>
      <c r="G737" s="765"/>
      <c r="H737" s="766"/>
    </row>
    <row r="738" ht="14.25" customHeight="1">
      <c r="D738" s="765"/>
      <c r="G738" s="765"/>
      <c r="H738" s="766"/>
    </row>
    <row r="739" ht="14.25" customHeight="1">
      <c r="D739" s="765"/>
      <c r="G739" s="765"/>
      <c r="H739" s="766"/>
    </row>
    <row r="740" ht="14.25" customHeight="1">
      <c r="D740" s="765"/>
      <c r="G740" s="765"/>
      <c r="H740" s="766"/>
    </row>
    <row r="741" ht="14.25" customHeight="1">
      <c r="D741" s="765"/>
      <c r="G741" s="765"/>
      <c r="H741" s="766"/>
    </row>
    <row r="742" ht="14.25" customHeight="1">
      <c r="D742" s="765"/>
      <c r="G742" s="765"/>
      <c r="H742" s="766"/>
    </row>
    <row r="743" ht="14.25" customHeight="1">
      <c r="D743" s="765"/>
      <c r="G743" s="765"/>
      <c r="H743" s="766"/>
    </row>
    <row r="744" ht="14.25" customHeight="1">
      <c r="D744" s="765"/>
      <c r="G744" s="765"/>
      <c r="H744" s="766"/>
    </row>
    <row r="745" ht="14.25" customHeight="1">
      <c r="D745" s="765"/>
      <c r="G745" s="765"/>
      <c r="H745" s="766"/>
    </row>
    <row r="746" ht="14.25" customHeight="1">
      <c r="D746" s="765"/>
      <c r="G746" s="765"/>
      <c r="H746" s="766"/>
    </row>
    <row r="747" ht="14.25" customHeight="1">
      <c r="D747" s="765"/>
      <c r="G747" s="765"/>
      <c r="H747" s="766"/>
    </row>
    <row r="748" ht="14.25" customHeight="1">
      <c r="D748" s="765"/>
      <c r="G748" s="765"/>
      <c r="H748" s="766"/>
    </row>
    <row r="749" ht="14.25" customHeight="1">
      <c r="D749" s="765"/>
      <c r="G749" s="765"/>
      <c r="H749" s="766"/>
    </row>
    <row r="750" ht="14.25" customHeight="1">
      <c r="D750" s="765"/>
      <c r="G750" s="765"/>
      <c r="H750" s="766"/>
    </row>
    <row r="751" ht="14.25" customHeight="1">
      <c r="D751" s="765"/>
      <c r="G751" s="765"/>
      <c r="H751" s="766"/>
    </row>
    <row r="752" ht="14.25" customHeight="1">
      <c r="D752" s="765"/>
      <c r="G752" s="765"/>
      <c r="H752" s="766"/>
    </row>
    <row r="753" ht="14.25" customHeight="1">
      <c r="D753" s="765"/>
      <c r="G753" s="765"/>
      <c r="H753" s="766"/>
    </row>
    <row r="754" ht="14.25" customHeight="1">
      <c r="D754" s="765"/>
      <c r="G754" s="765"/>
      <c r="H754" s="766"/>
    </row>
    <row r="755" ht="14.25" customHeight="1">
      <c r="D755" s="765"/>
      <c r="G755" s="765"/>
      <c r="H755" s="766"/>
    </row>
    <row r="756" ht="14.25" customHeight="1">
      <c r="D756" s="765"/>
      <c r="G756" s="765"/>
      <c r="H756" s="766"/>
    </row>
    <row r="757" ht="14.25" customHeight="1">
      <c r="D757" s="765"/>
      <c r="G757" s="765"/>
      <c r="H757" s="766"/>
    </row>
    <row r="758" ht="14.25" customHeight="1">
      <c r="D758" s="765"/>
      <c r="G758" s="765"/>
      <c r="H758" s="766"/>
    </row>
    <row r="759" ht="14.25" customHeight="1">
      <c r="D759" s="765"/>
      <c r="G759" s="765"/>
      <c r="H759" s="766"/>
    </row>
    <row r="760" ht="14.25" customHeight="1">
      <c r="D760" s="765"/>
      <c r="G760" s="765"/>
      <c r="H760" s="766"/>
    </row>
    <row r="761" ht="14.25" customHeight="1">
      <c r="D761" s="765"/>
      <c r="G761" s="765"/>
      <c r="H761" s="766"/>
    </row>
    <row r="762" ht="14.25" customHeight="1">
      <c r="D762" s="765"/>
      <c r="G762" s="765"/>
      <c r="H762" s="766"/>
    </row>
    <row r="763" ht="14.25" customHeight="1">
      <c r="D763" s="765"/>
      <c r="G763" s="765"/>
      <c r="H763" s="766"/>
    </row>
    <row r="764" ht="14.25" customHeight="1">
      <c r="D764" s="765"/>
      <c r="G764" s="765"/>
      <c r="H764" s="766"/>
    </row>
    <row r="765" ht="14.25" customHeight="1">
      <c r="D765" s="765"/>
      <c r="G765" s="765"/>
      <c r="H765" s="766"/>
    </row>
    <row r="766" ht="14.25" customHeight="1">
      <c r="D766" s="765"/>
      <c r="G766" s="765"/>
      <c r="H766" s="766"/>
    </row>
    <row r="767" ht="14.25" customHeight="1">
      <c r="D767" s="765"/>
      <c r="G767" s="765"/>
      <c r="H767" s="766"/>
    </row>
    <row r="768" ht="14.25" customHeight="1">
      <c r="D768" s="765"/>
      <c r="G768" s="765"/>
      <c r="H768" s="766"/>
    </row>
    <row r="769" ht="14.25" customHeight="1">
      <c r="D769" s="765"/>
      <c r="G769" s="765"/>
      <c r="H769" s="766"/>
    </row>
    <row r="770" ht="14.25" customHeight="1">
      <c r="D770" s="765"/>
      <c r="G770" s="765"/>
      <c r="H770" s="766"/>
    </row>
    <row r="771" ht="14.25" customHeight="1">
      <c r="D771" s="765"/>
      <c r="G771" s="765"/>
      <c r="H771" s="766"/>
    </row>
    <row r="772" ht="14.25" customHeight="1">
      <c r="D772" s="765"/>
      <c r="G772" s="765"/>
      <c r="H772" s="766"/>
    </row>
    <row r="773" ht="14.25" customHeight="1">
      <c r="D773" s="765"/>
      <c r="G773" s="765"/>
      <c r="H773" s="766"/>
    </row>
    <row r="774" ht="14.25" customHeight="1">
      <c r="D774" s="765"/>
      <c r="G774" s="765"/>
      <c r="H774" s="766"/>
    </row>
    <row r="775" ht="14.25" customHeight="1">
      <c r="D775" s="765"/>
      <c r="G775" s="765"/>
      <c r="H775" s="766"/>
    </row>
    <row r="776" ht="14.25" customHeight="1">
      <c r="D776" s="765"/>
      <c r="G776" s="765"/>
      <c r="H776" s="766"/>
    </row>
    <row r="777" ht="14.25" customHeight="1">
      <c r="D777" s="765"/>
      <c r="G777" s="765"/>
      <c r="H777" s="766"/>
    </row>
    <row r="778" ht="14.25" customHeight="1">
      <c r="D778" s="765"/>
      <c r="G778" s="765"/>
      <c r="H778" s="766"/>
    </row>
    <row r="779" ht="14.25" customHeight="1">
      <c r="D779" s="765"/>
      <c r="G779" s="765"/>
      <c r="H779" s="766"/>
    </row>
    <row r="780" ht="14.25" customHeight="1">
      <c r="D780" s="765"/>
      <c r="G780" s="765"/>
      <c r="H780" s="766"/>
    </row>
    <row r="781" ht="14.25" customHeight="1">
      <c r="D781" s="765"/>
      <c r="G781" s="765"/>
      <c r="H781" s="766"/>
    </row>
    <row r="782" ht="14.25" customHeight="1">
      <c r="D782" s="765"/>
      <c r="G782" s="765"/>
      <c r="H782" s="766"/>
    </row>
    <row r="783" ht="14.25" customHeight="1">
      <c r="D783" s="765"/>
      <c r="G783" s="765"/>
      <c r="H783" s="766"/>
    </row>
    <row r="784" ht="14.25" customHeight="1">
      <c r="D784" s="765"/>
      <c r="G784" s="765"/>
      <c r="H784" s="766"/>
    </row>
    <row r="785" ht="14.25" customHeight="1">
      <c r="D785" s="765"/>
      <c r="G785" s="765"/>
      <c r="H785" s="766"/>
    </row>
    <row r="786" ht="14.25" customHeight="1">
      <c r="D786" s="765"/>
      <c r="G786" s="765"/>
      <c r="H786" s="766"/>
    </row>
    <row r="787" ht="14.25" customHeight="1">
      <c r="D787" s="765"/>
      <c r="G787" s="765"/>
      <c r="H787" s="766"/>
    </row>
    <row r="788" ht="14.25" customHeight="1">
      <c r="D788" s="765"/>
      <c r="G788" s="765"/>
      <c r="H788" s="766"/>
    </row>
    <row r="789" ht="14.25" customHeight="1">
      <c r="D789" s="765"/>
      <c r="G789" s="765"/>
      <c r="H789" s="766"/>
    </row>
    <row r="790" ht="14.25" customHeight="1">
      <c r="D790" s="765"/>
      <c r="G790" s="765"/>
      <c r="H790" s="766"/>
    </row>
    <row r="791" ht="14.25" customHeight="1">
      <c r="D791" s="765"/>
      <c r="G791" s="765"/>
      <c r="H791" s="766"/>
    </row>
    <row r="792" ht="14.25" customHeight="1">
      <c r="D792" s="765"/>
      <c r="G792" s="765"/>
      <c r="H792" s="766"/>
    </row>
    <row r="793" ht="14.25" customHeight="1">
      <c r="D793" s="765"/>
      <c r="G793" s="765"/>
      <c r="H793" s="766"/>
    </row>
    <row r="794" ht="14.25" customHeight="1">
      <c r="D794" s="765"/>
      <c r="G794" s="765"/>
      <c r="H794" s="766"/>
    </row>
    <row r="795" ht="14.25" customHeight="1">
      <c r="D795" s="765"/>
      <c r="G795" s="765"/>
      <c r="H795" s="766"/>
    </row>
    <row r="796" ht="14.25" customHeight="1">
      <c r="D796" s="765"/>
      <c r="G796" s="765"/>
      <c r="H796" s="766"/>
    </row>
    <row r="797" ht="14.25" customHeight="1">
      <c r="D797" s="765"/>
      <c r="G797" s="765"/>
      <c r="H797" s="766"/>
    </row>
    <row r="798" ht="14.25" customHeight="1">
      <c r="D798" s="765"/>
      <c r="G798" s="765"/>
      <c r="H798" s="766"/>
    </row>
    <row r="799" ht="14.25" customHeight="1">
      <c r="D799" s="765"/>
      <c r="G799" s="765"/>
      <c r="H799" s="766"/>
    </row>
    <row r="800" ht="14.25" customHeight="1">
      <c r="D800" s="765"/>
      <c r="G800" s="765"/>
      <c r="H800" s="766"/>
    </row>
    <row r="801" ht="14.25" customHeight="1">
      <c r="D801" s="765"/>
      <c r="G801" s="765"/>
      <c r="H801" s="766"/>
    </row>
    <row r="802" ht="14.25" customHeight="1">
      <c r="D802" s="765"/>
      <c r="G802" s="765"/>
      <c r="H802" s="766"/>
    </row>
    <row r="803" ht="14.25" customHeight="1">
      <c r="D803" s="765"/>
      <c r="G803" s="765"/>
      <c r="H803" s="766"/>
    </row>
    <row r="804" ht="14.25" customHeight="1">
      <c r="D804" s="765"/>
      <c r="G804" s="765"/>
      <c r="H804" s="766"/>
    </row>
    <row r="805" ht="14.25" customHeight="1">
      <c r="D805" s="765"/>
      <c r="G805" s="765"/>
      <c r="H805" s="766"/>
    </row>
    <row r="806" ht="14.25" customHeight="1">
      <c r="D806" s="765"/>
      <c r="G806" s="765"/>
      <c r="H806" s="766"/>
    </row>
    <row r="807" ht="14.25" customHeight="1">
      <c r="D807" s="765"/>
      <c r="G807" s="765"/>
      <c r="H807" s="766"/>
    </row>
    <row r="808" ht="14.25" customHeight="1">
      <c r="D808" s="765"/>
      <c r="G808" s="765"/>
      <c r="H808" s="766"/>
    </row>
    <row r="809" ht="14.25" customHeight="1">
      <c r="D809" s="765"/>
      <c r="G809" s="765"/>
      <c r="H809" s="766"/>
    </row>
    <row r="810" ht="14.25" customHeight="1">
      <c r="D810" s="765"/>
      <c r="G810" s="765"/>
      <c r="H810" s="766"/>
    </row>
    <row r="811" ht="14.25" customHeight="1">
      <c r="D811" s="765"/>
      <c r="G811" s="765"/>
      <c r="H811" s="766"/>
    </row>
    <row r="812" ht="14.25" customHeight="1">
      <c r="D812" s="765"/>
      <c r="G812" s="765"/>
      <c r="H812" s="766"/>
    </row>
    <row r="813" ht="14.25" customHeight="1">
      <c r="D813" s="765"/>
      <c r="G813" s="765"/>
      <c r="H813" s="766"/>
    </row>
    <row r="814" ht="14.25" customHeight="1">
      <c r="D814" s="765"/>
      <c r="G814" s="765"/>
      <c r="H814" s="766"/>
    </row>
    <row r="815" ht="14.25" customHeight="1">
      <c r="D815" s="765"/>
      <c r="G815" s="765"/>
      <c r="H815" s="766"/>
    </row>
    <row r="816" ht="14.25" customHeight="1">
      <c r="D816" s="765"/>
      <c r="G816" s="765"/>
      <c r="H816" s="766"/>
    </row>
    <row r="817" ht="14.25" customHeight="1">
      <c r="D817" s="765"/>
      <c r="G817" s="765"/>
      <c r="H817" s="766"/>
    </row>
    <row r="818" ht="14.25" customHeight="1">
      <c r="D818" s="765"/>
      <c r="G818" s="765"/>
      <c r="H818" s="766"/>
    </row>
    <row r="819" ht="14.25" customHeight="1">
      <c r="D819" s="765"/>
      <c r="G819" s="765"/>
      <c r="H819" s="766"/>
    </row>
    <row r="820" ht="14.25" customHeight="1">
      <c r="D820" s="765"/>
      <c r="G820" s="765"/>
      <c r="H820" s="766"/>
    </row>
    <row r="821" ht="14.25" customHeight="1">
      <c r="D821" s="765"/>
      <c r="G821" s="765"/>
      <c r="H821" s="766"/>
    </row>
    <row r="822" ht="14.25" customHeight="1">
      <c r="D822" s="765"/>
      <c r="G822" s="765"/>
      <c r="H822" s="766"/>
    </row>
    <row r="823" ht="14.25" customHeight="1">
      <c r="D823" s="765"/>
      <c r="G823" s="765"/>
      <c r="H823" s="766"/>
    </row>
    <row r="824" ht="14.25" customHeight="1">
      <c r="D824" s="765"/>
      <c r="G824" s="765"/>
      <c r="H824" s="766"/>
    </row>
    <row r="825" ht="14.25" customHeight="1">
      <c r="D825" s="765"/>
      <c r="G825" s="765"/>
      <c r="H825" s="766"/>
    </row>
    <row r="826" ht="14.25" customHeight="1">
      <c r="D826" s="765"/>
      <c r="G826" s="765"/>
      <c r="H826" s="766"/>
    </row>
    <row r="827" ht="14.25" customHeight="1">
      <c r="D827" s="765"/>
      <c r="G827" s="765"/>
      <c r="H827" s="766"/>
    </row>
    <row r="828" ht="14.25" customHeight="1">
      <c r="D828" s="765"/>
      <c r="G828" s="765"/>
      <c r="H828" s="766"/>
    </row>
    <row r="829" ht="14.25" customHeight="1">
      <c r="D829" s="765"/>
      <c r="G829" s="765"/>
      <c r="H829" s="766"/>
    </row>
    <row r="830" ht="14.25" customHeight="1">
      <c r="D830" s="765"/>
      <c r="G830" s="765"/>
      <c r="H830" s="766"/>
    </row>
    <row r="831" ht="14.25" customHeight="1">
      <c r="D831" s="765"/>
      <c r="G831" s="765"/>
      <c r="H831" s="766"/>
    </row>
    <row r="832" ht="14.25" customHeight="1">
      <c r="D832" s="765"/>
      <c r="G832" s="765"/>
      <c r="H832" s="766"/>
    </row>
    <row r="833" ht="14.25" customHeight="1">
      <c r="D833" s="765"/>
      <c r="G833" s="765"/>
      <c r="H833" s="766"/>
    </row>
    <row r="834" ht="14.25" customHeight="1">
      <c r="D834" s="765"/>
      <c r="G834" s="765"/>
      <c r="H834" s="766"/>
    </row>
    <row r="835" ht="14.25" customHeight="1">
      <c r="D835" s="765"/>
      <c r="G835" s="765"/>
      <c r="H835" s="766"/>
    </row>
    <row r="836" ht="14.25" customHeight="1">
      <c r="D836" s="765"/>
      <c r="G836" s="765"/>
      <c r="H836" s="766"/>
    </row>
    <row r="837" ht="14.25" customHeight="1">
      <c r="D837" s="765"/>
      <c r="G837" s="765"/>
      <c r="H837" s="766"/>
    </row>
    <row r="838" ht="14.25" customHeight="1">
      <c r="D838" s="765"/>
      <c r="G838" s="765"/>
      <c r="H838" s="766"/>
    </row>
    <row r="839" ht="14.25" customHeight="1">
      <c r="D839" s="765"/>
      <c r="G839" s="765"/>
      <c r="H839" s="766"/>
    </row>
    <row r="840" ht="14.25" customHeight="1">
      <c r="D840" s="765"/>
      <c r="G840" s="765"/>
      <c r="H840" s="766"/>
    </row>
    <row r="841" ht="14.25" customHeight="1">
      <c r="D841" s="765"/>
      <c r="G841" s="765"/>
      <c r="H841" s="766"/>
    </row>
    <row r="842" ht="14.25" customHeight="1">
      <c r="D842" s="765"/>
      <c r="G842" s="765"/>
      <c r="H842" s="766"/>
    </row>
    <row r="843" ht="14.25" customHeight="1">
      <c r="D843" s="765"/>
      <c r="G843" s="765"/>
      <c r="H843" s="766"/>
    </row>
    <row r="844" ht="14.25" customHeight="1">
      <c r="D844" s="765"/>
      <c r="G844" s="765"/>
      <c r="H844" s="766"/>
    </row>
    <row r="845" ht="14.25" customHeight="1">
      <c r="D845" s="765"/>
      <c r="G845" s="765"/>
      <c r="H845" s="766"/>
    </row>
    <row r="846" ht="14.25" customHeight="1">
      <c r="D846" s="765"/>
      <c r="G846" s="765"/>
      <c r="H846" s="766"/>
    </row>
    <row r="847" ht="14.25" customHeight="1">
      <c r="D847" s="765"/>
      <c r="G847" s="765"/>
      <c r="H847" s="766"/>
    </row>
    <row r="848" ht="14.25" customHeight="1">
      <c r="D848" s="765"/>
      <c r="G848" s="765"/>
      <c r="H848" s="766"/>
    </row>
    <row r="849" ht="14.25" customHeight="1">
      <c r="D849" s="765"/>
      <c r="G849" s="765"/>
      <c r="H849" s="766"/>
    </row>
    <row r="850" ht="14.25" customHeight="1">
      <c r="D850" s="765"/>
      <c r="G850" s="765"/>
      <c r="H850" s="766"/>
    </row>
    <row r="851" ht="14.25" customHeight="1">
      <c r="D851" s="765"/>
      <c r="G851" s="765"/>
      <c r="H851" s="766"/>
    </row>
    <row r="852" ht="14.25" customHeight="1">
      <c r="D852" s="765"/>
      <c r="G852" s="765"/>
      <c r="H852" s="766"/>
    </row>
    <row r="853" ht="14.25" customHeight="1">
      <c r="D853" s="765"/>
      <c r="G853" s="765"/>
      <c r="H853" s="766"/>
    </row>
    <row r="854" ht="14.25" customHeight="1">
      <c r="D854" s="765"/>
      <c r="G854" s="765"/>
      <c r="H854" s="766"/>
    </row>
    <row r="855" ht="14.25" customHeight="1">
      <c r="D855" s="765"/>
      <c r="G855" s="765"/>
      <c r="H855" s="766"/>
    </row>
    <row r="856" ht="14.25" customHeight="1">
      <c r="D856" s="765"/>
      <c r="G856" s="765"/>
      <c r="H856" s="766"/>
    </row>
    <row r="857" ht="14.25" customHeight="1">
      <c r="D857" s="765"/>
      <c r="G857" s="765"/>
      <c r="H857" s="766"/>
    </row>
    <row r="858" ht="14.25" customHeight="1">
      <c r="D858" s="765"/>
      <c r="G858" s="765"/>
      <c r="H858" s="766"/>
    </row>
    <row r="859" ht="14.25" customHeight="1">
      <c r="D859" s="765"/>
      <c r="G859" s="765"/>
      <c r="H859" s="766"/>
    </row>
    <row r="860" ht="14.25" customHeight="1">
      <c r="D860" s="765"/>
      <c r="G860" s="765"/>
      <c r="H860" s="766"/>
    </row>
    <row r="861" ht="14.25" customHeight="1">
      <c r="D861" s="765"/>
      <c r="G861" s="765"/>
      <c r="H861" s="766"/>
    </row>
    <row r="862" ht="14.25" customHeight="1">
      <c r="D862" s="765"/>
      <c r="G862" s="765"/>
      <c r="H862" s="766"/>
    </row>
    <row r="863" ht="14.25" customHeight="1">
      <c r="D863" s="765"/>
      <c r="G863" s="765"/>
      <c r="H863" s="766"/>
    </row>
    <row r="864" ht="14.25" customHeight="1">
      <c r="D864" s="765"/>
      <c r="G864" s="765"/>
      <c r="H864" s="766"/>
    </row>
    <row r="865" ht="14.25" customHeight="1">
      <c r="D865" s="765"/>
      <c r="G865" s="765"/>
      <c r="H865" s="766"/>
    </row>
    <row r="866" ht="14.25" customHeight="1">
      <c r="D866" s="765"/>
      <c r="G866" s="765"/>
      <c r="H866" s="766"/>
    </row>
    <row r="867" ht="14.25" customHeight="1">
      <c r="D867" s="765"/>
      <c r="G867" s="765"/>
      <c r="H867" s="766"/>
    </row>
    <row r="868" ht="14.25" customHeight="1">
      <c r="D868" s="765"/>
      <c r="G868" s="765"/>
      <c r="H868" s="766"/>
    </row>
    <row r="869" ht="14.25" customHeight="1">
      <c r="D869" s="765"/>
      <c r="G869" s="765"/>
      <c r="H869" s="766"/>
    </row>
    <row r="870" ht="14.25" customHeight="1">
      <c r="D870" s="765"/>
      <c r="G870" s="765"/>
      <c r="H870" s="766"/>
    </row>
    <row r="871" ht="14.25" customHeight="1">
      <c r="D871" s="765"/>
      <c r="G871" s="765"/>
      <c r="H871" s="766"/>
    </row>
    <row r="872" ht="14.25" customHeight="1">
      <c r="D872" s="765"/>
      <c r="G872" s="765"/>
      <c r="H872" s="766"/>
    </row>
    <row r="873" ht="14.25" customHeight="1">
      <c r="D873" s="765"/>
      <c r="G873" s="765"/>
      <c r="H873" s="766"/>
    </row>
    <row r="874" ht="14.25" customHeight="1">
      <c r="D874" s="765"/>
      <c r="G874" s="765"/>
      <c r="H874" s="766"/>
    </row>
    <row r="875" ht="14.25" customHeight="1">
      <c r="D875" s="765"/>
      <c r="G875" s="765"/>
      <c r="H875" s="766"/>
    </row>
    <row r="876" ht="14.25" customHeight="1">
      <c r="D876" s="765"/>
      <c r="G876" s="765"/>
      <c r="H876" s="766"/>
    </row>
    <row r="877" ht="14.25" customHeight="1">
      <c r="D877" s="765"/>
      <c r="G877" s="765"/>
      <c r="H877" s="766"/>
    </row>
    <row r="878" ht="14.25" customHeight="1">
      <c r="D878" s="765"/>
      <c r="G878" s="765"/>
      <c r="H878" s="766"/>
    </row>
    <row r="879" ht="14.25" customHeight="1">
      <c r="D879" s="765"/>
      <c r="G879" s="765"/>
      <c r="H879" s="766"/>
    </row>
    <row r="880" ht="14.25" customHeight="1">
      <c r="D880" s="765"/>
      <c r="G880" s="765"/>
      <c r="H880" s="766"/>
    </row>
    <row r="881" ht="14.25" customHeight="1">
      <c r="D881" s="765"/>
      <c r="G881" s="765"/>
      <c r="H881" s="766"/>
    </row>
    <row r="882" ht="14.25" customHeight="1">
      <c r="D882" s="765"/>
      <c r="G882" s="765"/>
      <c r="H882" s="766"/>
    </row>
    <row r="883" ht="14.25" customHeight="1">
      <c r="D883" s="765"/>
      <c r="G883" s="765"/>
      <c r="H883" s="766"/>
    </row>
    <row r="884" ht="14.25" customHeight="1">
      <c r="D884" s="765"/>
      <c r="G884" s="765"/>
      <c r="H884" s="766"/>
    </row>
    <row r="885" ht="14.25" customHeight="1">
      <c r="D885" s="765"/>
      <c r="G885" s="765"/>
      <c r="H885" s="766"/>
    </row>
    <row r="886" ht="14.25" customHeight="1">
      <c r="D886" s="765"/>
      <c r="G886" s="765"/>
      <c r="H886" s="766"/>
    </row>
    <row r="887" ht="14.25" customHeight="1">
      <c r="D887" s="765"/>
      <c r="G887" s="765"/>
      <c r="H887" s="766"/>
    </row>
    <row r="888" ht="14.25" customHeight="1">
      <c r="D888" s="765"/>
      <c r="G888" s="765"/>
      <c r="H888" s="766"/>
    </row>
    <row r="889" ht="14.25" customHeight="1">
      <c r="D889" s="765"/>
      <c r="G889" s="765"/>
      <c r="H889" s="766"/>
    </row>
    <row r="890" ht="14.25" customHeight="1">
      <c r="D890" s="765"/>
      <c r="G890" s="765"/>
      <c r="H890" s="766"/>
    </row>
    <row r="891" ht="14.25" customHeight="1">
      <c r="D891" s="765"/>
      <c r="G891" s="765"/>
      <c r="H891" s="766"/>
    </row>
    <row r="892" ht="14.25" customHeight="1">
      <c r="D892" s="765"/>
      <c r="G892" s="765"/>
      <c r="H892" s="766"/>
    </row>
    <row r="893" ht="14.25" customHeight="1">
      <c r="D893" s="765"/>
      <c r="G893" s="765"/>
      <c r="H893" s="766"/>
    </row>
    <row r="894" ht="14.25" customHeight="1">
      <c r="D894" s="765"/>
      <c r="G894" s="765"/>
      <c r="H894" s="766"/>
    </row>
    <row r="895" ht="14.25" customHeight="1">
      <c r="D895" s="765"/>
      <c r="G895" s="765"/>
      <c r="H895" s="766"/>
    </row>
    <row r="896" ht="14.25" customHeight="1">
      <c r="D896" s="765"/>
      <c r="G896" s="765"/>
      <c r="H896" s="766"/>
    </row>
    <row r="897" ht="14.25" customHeight="1">
      <c r="D897" s="765"/>
      <c r="G897" s="765"/>
      <c r="H897" s="766"/>
    </row>
    <row r="898" ht="14.25" customHeight="1">
      <c r="D898" s="765"/>
      <c r="G898" s="765"/>
      <c r="H898" s="766"/>
    </row>
    <row r="899" ht="14.25" customHeight="1">
      <c r="D899" s="765"/>
      <c r="G899" s="765"/>
      <c r="H899" s="766"/>
    </row>
    <row r="900" ht="14.25" customHeight="1">
      <c r="D900" s="765"/>
      <c r="G900" s="765"/>
      <c r="H900" s="766"/>
    </row>
    <row r="901" ht="14.25" customHeight="1">
      <c r="D901" s="765"/>
      <c r="G901" s="765"/>
      <c r="H901" s="766"/>
    </row>
    <row r="902" ht="14.25" customHeight="1">
      <c r="D902" s="765"/>
      <c r="G902" s="765"/>
      <c r="H902" s="766"/>
    </row>
    <row r="903" ht="14.25" customHeight="1">
      <c r="D903" s="765"/>
      <c r="G903" s="765"/>
      <c r="H903" s="766"/>
    </row>
    <row r="904" ht="14.25" customHeight="1">
      <c r="D904" s="765"/>
      <c r="G904" s="765"/>
      <c r="H904" s="766"/>
    </row>
    <row r="905" ht="14.25" customHeight="1">
      <c r="D905" s="765"/>
      <c r="G905" s="765"/>
      <c r="H905" s="766"/>
    </row>
    <row r="906" ht="14.25" customHeight="1">
      <c r="D906" s="765"/>
      <c r="G906" s="765"/>
      <c r="H906" s="766"/>
    </row>
    <row r="907" ht="14.25" customHeight="1">
      <c r="D907" s="765"/>
      <c r="G907" s="765"/>
      <c r="H907" s="766"/>
    </row>
    <row r="908" ht="14.25" customHeight="1">
      <c r="D908" s="765"/>
      <c r="G908" s="765"/>
      <c r="H908" s="766"/>
    </row>
    <row r="909" ht="14.25" customHeight="1">
      <c r="D909" s="765"/>
      <c r="G909" s="765"/>
      <c r="H909" s="766"/>
    </row>
    <row r="910" ht="14.25" customHeight="1">
      <c r="D910" s="765"/>
      <c r="G910" s="765"/>
      <c r="H910" s="766"/>
    </row>
    <row r="911" ht="14.25" customHeight="1">
      <c r="D911" s="765"/>
      <c r="G911" s="765"/>
      <c r="H911" s="766"/>
    </row>
    <row r="912" ht="14.25" customHeight="1">
      <c r="D912" s="765"/>
      <c r="G912" s="765"/>
      <c r="H912" s="766"/>
    </row>
    <row r="913" ht="14.25" customHeight="1">
      <c r="D913" s="765"/>
      <c r="G913" s="765"/>
      <c r="H913" s="766"/>
    </row>
    <row r="914" ht="14.25" customHeight="1">
      <c r="D914" s="765"/>
      <c r="G914" s="765"/>
      <c r="H914" s="766"/>
    </row>
    <row r="915" ht="14.25" customHeight="1">
      <c r="D915" s="765"/>
      <c r="G915" s="765"/>
      <c r="H915" s="766"/>
    </row>
    <row r="916" ht="14.25" customHeight="1">
      <c r="D916" s="765"/>
      <c r="G916" s="765"/>
      <c r="H916" s="766"/>
    </row>
    <row r="917" ht="14.25" customHeight="1">
      <c r="D917" s="765"/>
      <c r="G917" s="765"/>
      <c r="H917" s="766"/>
    </row>
    <row r="918" ht="14.25" customHeight="1">
      <c r="D918" s="765"/>
      <c r="G918" s="765"/>
      <c r="H918" s="766"/>
    </row>
    <row r="919" ht="14.25" customHeight="1">
      <c r="D919" s="765"/>
      <c r="G919" s="765"/>
      <c r="H919" s="766"/>
    </row>
    <row r="920" ht="14.25" customHeight="1">
      <c r="D920" s="765"/>
      <c r="G920" s="765"/>
      <c r="H920" s="766"/>
    </row>
    <row r="921" ht="14.25" customHeight="1">
      <c r="D921" s="765"/>
      <c r="G921" s="765"/>
      <c r="H921" s="766"/>
    </row>
    <row r="922" ht="14.25" customHeight="1">
      <c r="D922" s="765"/>
      <c r="G922" s="765"/>
      <c r="H922" s="766"/>
    </row>
    <row r="923" ht="14.25" customHeight="1">
      <c r="D923" s="765"/>
      <c r="G923" s="765"/>
      <c r="H923" s="766"/>
    </row>
    <row r="924" ht="14.25" customHeight="1">
      <c r="D924" s="765"/>
      <c r="G924" s="765"/>
      <c r="H924" s="766"/>
    </row>
    <row r="925" ht="14.25" customHeight="1">
      <c r="D925" s="765"/>
      <c r="G925" s="765"/>
      <c r="H925" s="766"/>
    </row>
    <row r="926" ht="14.25" customHeight="1">
      <c r="D926" s="765"/>
      <c r="G926" s="765"/>
      <c r="H926" s="766"/>
    </row>
    <row r="927" ht="14.25" customHeight="1">
      <c r="D927" s="765"/>
      <c r="G927" s="765"/>
      <c r="H927" s="766"/>
    </row>
    <row r="928" ht="14.25" customHeight="1">
      <c r="D928" s="765"/>
      <c r="G928" s="765"/>
      <c r="H928" s="766"/>
    </row>
    <row r="929" ht="14.25" customHeight="1">
      <c r="D929" s="765"/>
      <c r="G929" s="765"/>
      <c r="H929" s="766"/>
    </row>
    <row r="930" ht="14.25" customHeight="1">
      <c r="D930" s="765"/>
      <c r="G930" s="765"/>
      <c r="H930" s="766"/>
    </row>
    <row r="931" ht="14.25" customHeight="1">
      <c r="D931" s="765"/>
      <c r="G931" s="765"/>
      <c r="H931" s="766"/>
    </row>
    <row r="932" ht="14.25" customHeight="1">
      <c r="D932" s="765"/>
      <c r="G932" s="765"/>
      <c r="H932" s="766"/>
    </row>
    <row r="933" ht="14.25" customHeight="1">
      <c r="D933" s="765"/>
      <c r="G933" s="765"/>
      <c r="H933" s="766"/>
    </row>
    <row r="934" ht="14.25" customHeight="1">
      <c r="D934" s="765"/>
      <c r="G934" s="765"/>
      <c r="H934" s="766"/>
    </row>
    <row r="935" ht="14.25" customHeight="1">
      <c r="D935" s="765"/>
      <c r="G935" s="765"/>
      <c r="H935" s="766"/>
    </row>
    <row r="936" ht="14.25" customHeight="1">
      <c r="D936" s="765"/>
      <c r="G936" s="765"/>
      <c r="H936" s="766"/>
    </row>
    <row r="937" ht="14.25" customHeight="1">
      <c r="D937" s="765"/>
      <c r="G937" s="765"/>
      <c r="H937" s="766"/>
    </row>
    <row r="938" ht="14.25" customHeight="1">
      <c r="D938" s="765"/>
      <c r="G938" s="765"/>
      <c r="H938" s="766"/>
    </row>
    <row r="939" ht="14.25" customHeight="1">
      <c r="D939" s="765"/>
      <c r="G939" s="765"/>
      <c r="H939" s="766"/>
    </row>
    <row r="940" ht="14.25" customHeight="1">
      <c r="D940" s="765"/>
      <c r="G940" s="765"/>
      <c r="H940" s="766"/>
    </row>
    <row r="941" ht="14.25" customHeight="1">
      <c r="D941" s="765"/>
      <c r="G941" s="765"/>
      <c r="H941" s="766"/>
    </row>
    <row r="942" ht="14.25" customHeight="1">
      <c r="D942" s="765"/>
      <c r="G942" s="765"/>
      <c r="H942" s="766"/>
    </row>
    <row r="943" ht="14.25" customHeight="1">
      <c r="D943" s="765"/>
      <c r="G943" s="765"/>
      <c r="H943" s="766"/>
    </row>
    <row r="944" ht="14.25" customHeight="1">
      <c r="D944" s="765"/>
      <c r="G944" s="765"/>
      <c r="H944" s="766"/>
    </row>
    <row r="945" ht="14.25" customHeight="1">
      <c r="D945" s="765"/>
      <c r="G945" s="765"/>
      <c r="H945" s="766"/>
    </row>
    <row r="946" ht="14.25" customHeight="1">
      <c r="D946" s="765"/>
      <c r="G946" s="765"/>
      <c r="H946" s="766"/>
    </row>
    <row r="947" ht="14.25" customHeight="1">
      <c r="D947" s="765"/>
      <c r="G947" s="765"/>
      <c r="H947" s="766"/>
    </row>
    <row r="948" ht="14.25" customHeight="1">
      <c r="D948" s="765"/>
      <c r="G948" s="765"/>
      <c r="H948" s="766"/>
    </row>
    <row r="949" ht="14.25" customHeight="1">
      <c r="D949" s="765"/>
      <c r="G949" s="765"/>
      <c r="H949" s="766"/>
    </row>
    <row r="950" ht="14.25" customHeight="1">
      <c r="D950" s="765"/>
      <c r="G950" s="765"/>
      <c r="H950" s="766"/>
    </row>
    <row r="951" ht="14.25" customHeight="1">
      <c r="D951" s="765"/>
      <c r="G951" s="765"/>
      <c r="H951" s="766"/>
    </row>
    <row r="952" ht="14.25" customHeight="1">
      <c r="D952" s="765"/>
      <c r="G952" s="765"/>
      <c r="H952" s="766"/>
    </row>
    <row r="953" ht="14.25" customHeight="1">
      <c r="D953" s="765"/>
      <c r="G953" s="765"/>
      <c r="H953" s="766"/>
    </row>
    <row r="954" ht="14.25" customHeight="1">
      <c r="D954" s="765"/>
      <c r="G954" s="765"/>
      <c r="H954" s="766"/>
    </row>
    <row r="955" ht="14.25" customHeight="1">
      <c r="D955" s="765"/>
      <c r="G955" s="765"/>
      <c r="H955" s="766"/>
    </row>
    <row r="956" ht="14.25" customHeight="1">
      <c r="D956" s="765"/>
      <c r="G956" s="765"/>
      <c r="H956" s="766"/>
    </row>
    <row r="957" ht="14.25" customHeight="1">
      <c r="D957" s="765"/>
      <c r="G957" s="765"/>
      <c r="H957" s="766"/>
    </row>
    <row r="958" ht="14.25" customHeight="1">
      <c r="D958" s="765"/>
      <c r="G958" s="765"/>
      <c r="H958" s="766"/>
    </row>
    <row r="959" ht="14.25" customHeight="1">
      <c r="D959" s="765"/>
      <c r="G959" s="765"/>
      <c r="H959" s="766"/>
    </row>
    <row r="960" ht="14.25" customHeight="1">
      <c r="D960" s="765"/>
      <c r="G960" s="765"/>
      <c r="H960" s="766"/>
    </row>
    <row r="961" ht="14.25" customHeight="1">
      <c r="D961" s="765"/>
      <c r="G961" s="765"/>
      <c r="H961" s="766"/>
    </row>
    <row r="962" ht="14.25" customHeight="1">
      <c r="D962" s="765"/>
      <c r="G962" s="765"/>
      <c r="H962" s="766"/>
    </row>
    <row r="963" ht="14.25" customHeight="1">
      <c r="D963" s="765"/>
      <c r="G963" s="765"/>
      <c r="H963" s="766"/>
    </row>
    <row r="964" ht="14.25" customHeight="1">
      <c r="D964" s="765"/>
      <c r="G964" s="765"/>
      <c r="H964" s="766"/>
    </row>
    <row r="965" ht="14.25" customHeight="1">
      <c r="D965" s="765"/>
      <c r="G965" s="765"/>
      <c r="H965" s="766"/>
    </row>
    <row r="966" ht="14.25" customHeight="1">
      <c r="D966" s="765"/>
      <c r="G966" s="765"/>
      <c r="H966" s="766"/>
    </row>
    <row r="967" ht="14.25" customHeight="1">
      <c r="D967" s="765"/>
      <c r="G967" s="765"/>
      <c r="H967" s="766"/>
    </row>
    <row r="968" ht="14.25" customHeight="1">
      <c r="D968" s="765"/>
      <c r="G968" s="765"/>
      <c r="H968" s="766"/>
    </row>
    <row r="969" ht="14.25" customHeight="1">
      <c r="D969" s="765"/>
      <c r="G969" s="765"/>
      <c r="H969" s="766"/>
    </row>
    <row r="970" ht="14.25" customHeight="1">
      <c r="D970" s="765"/>
      <c r="G970" s="765"/>
      <c r="H970" s="766"/>
    </row>
    <row r="971" ht="14.25" customHeight="1">
      <c r="D971" s="765"/>
      <c r="G971" s="765"/>
      <c r="H971" s="766"/>
    </row>
    <row r="972" ht="14.25" customHeight="1">
      <c r="D972" s="765"/>
      <c r="G972" s="765"/>
      <c r="H972" s="766"/>
    </row>
    <row r="973" ht="14.25" customHeight="1">
      <c r="D973" s="765"/>
      <c r="G973" s="765"/>
      <c r="H973" s="766"/>
    </row>
    <row r="974" ht="14.25" customHeight="1">
      <c r="D974" s="765"/>
      <c r="G974" s="765"/>
      <c r="H974" s="766"/>
    </row>
    <row r="975" ht="14.25" customHeight="1">
      <c r="D975" s="765"/>
      <c r="G975" s="765"/>
      <c r="H975" s="766"/>
    </row>
    <row r="976" ht="14.25" customHeight="1">
      <c r="D976" s="765"/>
      <c r="G976" s="765"/>
      <c r="H976" s="766"/>
    </row>
    <row r="977" ht="14.25" customHeight="1">
      <c r="D977" s="765"/>
      <c r="G977" s="765"/>
      <c r="H977" s="766"/>
    </row>
    <row r="978" ht="14.25" customHeight="1">
      <c r="D978" s="765"/>
      <c r="G978" s="765"/>
      <c r="H978" s="766"/>
    </row>
    <row r="979" ht="14.25" customHeight="1">
      <c r="D979" s="765"/>
      <c r="G979" s="765"/>
      <c r="H979" s="766"/>
    </row>
    <row r="980" ht="14.25" customHeight="1">
      <c r="D980" s="765"/>
      <c r="G980" s="765"/>
      <c r="H980" s="766"/>
    </row>
    <row r="981" ht="14.25" customHeight="1">
      <c r="D981" s="765"/>
      <c r="G981" s="765"/>
      <c r="H981" s="766"/>
    </row>
    <row r="982" ht="14.25" customHeight="1">
      <c r="D982" s="765"/>
      <c r="G982" s="765"/>
      <c r="H982" s="766"/>
    </row>
    <row r="983" ht="14.25" customHeight="1">
      <c r="D983" s="765"/>
      <c r="G983" s="765"/>
      <c r="H983" s="766"/>
    </row>
    <row r="984" ht="14.25" customHeight="1">
      <c r="D984" s="765"/>
      <c r="G984" s="765"/>
      <c r="H984" s="766"/>
    </row>
    <row r="985" ht="14.25" customHeight="1">
      <c r="D985" s="765"/>
      <c r="G985" s="765"/>
      <c r="H985" s="766"/>
    </row>
    <row r="986" ht="14.25" customHeight="1">
      <c r="D986" s="765"/>
      <c r="G986" s="765"/>
      <c r="H986" s="766"/>
    </row>
    <row r="987" ht="14.25" customHeight="1">
      <c r="D987" s="765"/>
      <c r="G987" s="765"/>
      <c r="H987" s="766"/>
    </row>
    <row r="988" ht="14.25" customHeight="1">
      <c r="D988" s="765"/>
      <c r="G988" s="765"/>
      <c r="H988" s="766"/>
    </row>
    <row r="989" ht="14.25" customHeight="1">
      <c r="D989" s="765"/>
      <c r="G989" s="765"/>
      <c r="H989" s="766"/>
    </row>
    <row r="990" ht="14.25" customHeight="1">
      <c r="D990" s="765"/>
      <c r="G990" s="765"/>
      <c r="H990" s="766"/>
    </row>
    <row r="991" ht="14.25" customHeight="1">
      <c r="D991" s="765"/>
      <c r="G991" s="765"/>
      <c r="H991" s="766"/>
    </row>
    <row r="992" ht="14.25" customHeight="1">
      <c r="D992" s="765"/>
      <c r="G992" s="765"/>
      <c r="H992" s="766"/>
    </row>
    <row r="993" ht="14.25" customHeight="1">
      <c r="D993" s="765"/>
      <c r="G993" s="765"/>
      <c r="H993" s="766"/>
    </row>
    <row r="994" ht="14.25" customHeight="1">
      <c r="D994" s="765"/>
      <c r="G994" s="765"/>
      <c r="H994" s="766"/>
    </row>
    <row r="995" ht="14.25" customHeight="1">
      <c r="D995" s="765"/>
      <c r="G995" s="765"/>
      <c r="H995" s="766"/>
    </row>
    <row r="996" ht="14.25" customHeight="1">
      <c r="D996" s="765"/>
      <c r="G996" s="765"/>
      <c r="H996" s="766"/>
    </row>
    <row r="997" ht="14.25" customHeight="1">
      <c r="D997" s="765"/>
      <c r="G997" s="765"/>
      <c r="H997" s="766"/>
    </row>
    <row r="998" ht="14.25" customHeight="1">
      <c r="D998" s="765"/>
      <c r="G998" s="765"/>
      <c r="H998" s="766"/>
    </row>
    <row r="999" ht="14.25" customHeight="1">
      <c r="D999" s="765"/>
      <c r="G999" s="765"/>
      <c r="H999" s="766"/>
    </row>
    <row r="1000" ht="14.25" customHeight="1">
      <c r="D1000" s="765"/>
      <c r="G1000" s="765"/>
      <c r="H1000" s="766"/>
    </row>
  </sheetData>
  <mergeCells count="5">
    <mergeCell ref="B1:J1"/>
    <mergeCell ref="B2:B3"/>
    <mergeCell ref="C2:F2"/>
    <mergeCell ref="G2:H2"/>
    <mergeCell ref="I2:J2"/>
  </mergeCells>
  <printOptions/>
  <pageMargins bottom="0.75" footer="0.0" header="0.0" left="0.7" right="0.7" top="0.75"/>
  <pageSetup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5E5C"/>
    <pageSetUpPr/>
  </sheetPr>
  <sheetViews>
    <sheetView workbookViewId="0">
      <pane xSplit="2.0" ySplit="5.0" topLeftCell="C6" activePane="bottomRight" state="frozen"/>
      <selection activeCell="C1" sqref="C1" pane="topRight"/>
      <selection activeCell="A6" sqref="A6" pane="bottomLeft"/>
      <selection activeCell="C6" sqref="C6" pane="bottomRight"/>
    </sheetView>
  </sheetViews>
  <sheetFormatPr customHeight="1" defaultColWidth="14.43" defaultRowHeight="15.0"/>
  <cols>
    <col customWidth="1" min="1" max="1" width="8.71"/>
    <col customWidth="1" min="2" max="2" width="79.29"/>
    <col customWidth="1" min="3" max="3" width="24.29"/>
    <col customWidth="1" min="4" max="4" width="31.29"/>
    <col customWidth="1" min="5" max="5" width="114.57"/>
    <col customWidth="1" min="6" max="6" width="35.71"/>
    <col customWidth="1" min="7" max="11" width="17.71"/>
    <col customWidth="1" min="12" max="13" width="41.29"/>
    <col customWidth="1" min="14" max="14" width="96.0"/>
    <col customWidth="1" min="15" max="15" width="9.29"/>
    <col customWidth="1" hidden="1" min="16" max="19" width="9.29"/>
    <col customWidth="1" hidden="1" min="20" max="20" width="14.43"/>
    <col customWidth="1" min="21" max="26" width="9.29"/>
  </cols>
  <sheetData>
    <row r="1" ht="14.25" customHeight="1">
      <c r="A1" s="1"/>
      <c r="B1" s="768" t="s">
        <v>398</v>
      </c>
      <c r="C1" s="26"/>
      <c r="D1" s="26"/>
      <c r="E1" s="26"/>
      <c r="F1" s="26"/>
      <c r="G1" s="26"/>
      <c r="H1" s="26"/>
      <c r="I1" s="26"/>
      <c r="J1" s="26"/>
      <c r="K1" s="26"/>
      <c r="L1" s="26"/>
      <c r="M1" s="26"/>
      <c r="N1" s="27"/>
      <c r="O1" s="1"/>
      <c r="P1" s="1"/>
      <c r="Q1" s="1"/>
      <c r="R1" s="1"/>
      <c r="S1" s="1"/>
      <c r="T1" s="1"/>
    </row>
    <row r="2" ht="14.25" customHeight="1">
      <c r="A2" s="1"/>
      <c r="B2" s="170"/>
      <c r="C2" s="171"/>
      <c r="D2" s="171"/>
      <c r="E2" s="171"/>
      <c r="F2" s="171"/>
      <c r="G2" s="171"/>
      <c r="H2" s="171"/>
      <c r="I2" s="171"/>
      <c r="J2" s="171"/>
      <c r="K2" s="171"/>
      <c r="L2" s="171"/>
      <c r="M2" s="171"/>
      <c r="N2" s="172"/>
      <c r="O2" s="1"/>
      <c r="P2" s="1"/>
      <c r="Q2" s="1"/>
      <c r="R2" s="1"/>
      <c r="S2" s="1"/>
      <c r="T2" s="1"/>
    </row>
    <row r="3" ht="14.25" customHeight="1">
      <c r="A3" s="1"/>
      <c r="B3" s="769" t="s">
        <v>286</v>
      </c>
      <c r="C3" s="770" t="s">
        <v>399</v>
      </c>
      <c r="D3" s="179"/>
      <c r="E3" s="179"/>
      <c r="F3" s="60"/>
      <c r="G3" s="771" t="s">
        <v>400</v>
      </c>
      <c r="H3" s="179"/>
      <c r="I3" s="179"/>
      <c r="J3" s="179"/>
      <c r="K3" s="179"/>
      <c r="L3" s="179"/>
      <c r="M3" s="60"/>
      <c r="N3" s="772" t="s">
        <v>401</v>
      </c>
      <c r="O3" s="1"/>
      <c r="P3" s="1"/>
      <c r="Q3" s="1"/>
      <c r="R3" s="1"/>
      <c r="S3" s="1"/>
      <c r="T3" s="1"/>
    </row>
    <row r="4" ht="97.5" customHeight="1">
      <c r="A4" s="1"/>
      <c r="B4" s="76"/>
      <c r="C4" s="773" t="s">
        <v>402</v>
      </c>
      <c r="D4" s="774" t="s">
        <v>403</v>
      </c>
      <c r="E4" s="774" t="s">
        <v>404</v>
      </c>
      <c r="F4" s="775" t="s">
        <v>405</v>
      </c>
      <c r="G4" s="776" t="s">
        <v>406</v>
      </c>
      <c r="H4" s="777" t="s">
        <v>407</v>
      </c>
      <c r="I4" s="777" t="s">
        <v>408</v>
      </c>
      <c r="J4" s="777" t="s">
        <v>409</v>
      </c>
      <c r="K4" s="777" t="s">
        <v>410</v>
      </c>
      <c r="L4" s="778" t="s">
        <v>411</v>
      </c>
      <c r="M4" s="779" t="s">
        <v>412</v>
      </c>
      <c r="N4" s="76"/>
      <c r="O4" s="1"/>
      <c r="P4" s="1"/>
      <c r="Q4" s="1"/>
      <c r="R4" s="1"/>
      <c r="S4" s="1"/>
      <c r="T4" s="1"/>
    </row>
    <row r="5" ht="65.25" customHeight="1">
      <c r="A5" s="1"/>
      <c r="B5" s="650"/>
      <c r="C5" s="146"/>
      <c r="D5" s="780"/>
      <c r="E5" s="780"/>
      <c r="F5" s="587"/>
      <c r="G5" s="781" t="s">
        <v>144</v>
      </c>
      <c r="H5" s="782" t="s">
        <v>413</v>
      </c>
      <c r="I5" s="782" t="s">
        <v>414</v>
      </c>
      <c r="J5" s="782" t="s">
        <v>143</v>
      </c>
      <c r="K5" s="782" t="s">
        <v>142</v>
      </c>
      <c r="L5" s="783"/>
      <c r="M5" s="587"/>
      <c r="N5" s="79"/>
      <c r="O5" s="1"/>
      <c r="P5" s="1"/>
      <c r="Q5" s="1"/>
      <c r="R5" s="1"/>
      <c r="S5" s="1"/>
      <c r="T5" s="1"/>
    </row>
    <row r="6" ht="14.25" customHeight="1">
      <c r="A6" s="1"/>
      <c r="B6" s="784" t="s">
        <v>325</v>
      </c>
      <c r="C6" s="785" t="s">
        <v>143</v>
      </c>
      <c r="D6" s="761" t="s">
        <v>143</v>
      </c>
      <c r="E6" s="557" t="s">
        <v>415</v>
      </c>
      <c r="F6" s="786" t="s">
        <v>143</v>
      </c>
      <c r="G6" s="787" t="s">
        <v>416</v>
      </c>
      <c r="H6" s="757" t="s">
        <v>416</v>
      </c>
      <c r="I6" s="757" t="s">
        <v>416</v>
      </c>
      <c r="J6" s="757">
        <v>1.0</v>
      </c>
      <c r="K6" s="754" t="s">
        <v>416</v>
      </c>
      <c r="L6" s="757" t="s">
        <v>416</v>
      </c>
      <c r="M6" s="788">
        <v>1.0</v>
      </c>
      <c r="N6" s="789" t="s">
        <v>415</v>
      </c>
      <c r="O6" s="1"/>
      <c r="P6" s="1"/>
      <c r="Q6" s="1"/>
      <c r="R6" s="1"/>
      <c r="S6" s="1"/>
      <c r="T6" s="1"/>
    </row>
    <row r="7" ht="14.25" customHeight="1">
      <c r="A7" s="1"/>
      <c r="B7" s="790" t="s">
        <v>327</v>
      </c>
      <c r="C7" s="299" t="s">
        <v>143</v>
      </c>
      <c r="D7" s="755" t="s">
        <v>143</v>
      </c>
      <c r="E7" s="300" t="s">
        <v>415</v>
      </c>
      <c r="F7" s="786" t="s">
        <v>143</v>
      </c>
      <c r="G7" s="791" t="s">
        <v>416</v>
      </c>
      <c r="H7" s="754" t="s">
        <v>416</v>
      </c>
      <c r="I7" s="754" t="s">
        <v>416</v>
      </c>
      <c r="J7" s="754">
        <v>1.0</v>
      </c>
      <c r="K7" s="754" t="s">
        <v>416</v>
      </c>
      <c r="L7" s="754" t="s">
        <v>416</v>
      </c>
      <c r="M7" s="792">
        <v>1.0</v>
      </c>
      <c r="N7" s="793" t="s">
        <v>415</v>
      </c>
      <c r="O7" s="1"/>
      <c r="P7" s="1"/>
      <c r="Q7" s="1"/>
      <c r="R7" s="1"/>
      <c r="S7" s="1"/>
      <c r="T7" s="1"/>
    </row>
    <row r="8" ht="14.25" customHeight="1">
      <c r="A8" s="1"/>
      <c r="B8" s="790" t="s">
        <v>328</v>
      </c>
      <c r="C8" s="299" t="s">
        <v>143</v>
      </c>
      <c r="D8" s="755" t="s">
        <v>143</v>
      </c>
      <c r="E8" s="300" t="s">
        <v>415</v>
      </c>
      <c r="F8" s="786" t="s">
        <v>143</v>
      </c>
      <c r="G8" s="791" t="s">
        <v>416</v>
      </c>
      <c r="H8" s="754" t="s">
        <v>416</v>
      </c>
      <c r="I8" s="754" t="s">
        <v>416</v>
      </c>
      <c r="J8" s="754">
        <v>1.0</v>
      </c>
      <c r="K8" s="754" t="s">
        <v>416</v>
      </c>
      <c r="L8" s="754" t="s">
        <v>416</v>
      </c>
      <c r="M8" s="792">
        <v>1.0</v>
      </c>
      <c r="N8" s="793" t="s">
        <v>415</v>
      </c>
      <c r="O8" s="1"/>
      <c r="P8" s="1"/>
      <c r="Q8" s="1"/>
      <c r="R8" s="1"/>
      <c r="S8" s="1"/>
      <c r="T8" s="1"/>
    </row>
    <row r="9" ht="14.25" customHeight="1">
      <c r="A9" s="1"/>
      <c r="B9" s="790" t="s">
        <v>329</v>
      </c>
      <c r="C9" s="299" t="s">
        <v>143</v>
      </c>
      <c r="D9" s="755" t="s">
        <v>143</v>
      </c>
      <c r="E9" s="300" t="s">
        <v>415</v>
      </c>
      <c r="F9" s="786" t="s">
        <v>143</v>
      </c>
      <c r="G9" s="791" t="s">
        <v>416</v>
      </c>
      <c r="H9" s="754" t="s">
        <v>416</v>
      </c>
      <c r="I9" s="754" t="s">
        <v>416</v>
      </c>
      <c r="J9" s="754">
        <v>1.0</v>
      </c>
      <c r="K9" s="754" t="s">
        <v>416</v>
      </c>
      <c r="L9" s="754" t="s">
        <v>416</v>
      </c>
      <c r="M9" s="792">
        <v>1.0</v>
      </c>
      <c r="N9" s="793" t="s">
        <v>415</v>
      </c>
      <c r="O9" s="1"/>
      <c r="P9" s="1"/>
      <c r="Q9" s="1"/>
      <c r="R9" s="1"/>
      <c r="S9" s="1"/>
      <c r="T9" s="1"/>
    </row>
    <row r="10" ht="14.25" customHeight="1">
      <c r="A10" s="1"/>
      <c r="B10" s="790" t="s">
        <v>330</v>
      </c>
      <c r="C10" s="299" t="s">
        <v>143</v>
      </c>
      <c r="D10" s="755" t="s">
        <v>143</v>
      </c>
      <c r="E10" s="300" t="s">
        <v>417</v>
      </c>
      <c r="F10" s="794" t="s">
        <v>416</v>
      </c>
      <c r="G10" s="791" t="s">
        <v>416</v>
      </c>
      <c r="H10" s="754" t="s">
        <v>416</v>
      </c>
      <c r="I10" s="754" t="s">
        <v>416</v>
      </c>
      <c r="J10" s="754">
        <v>1.0</v>
      </c>
      <c r="K10" s="754" t="s">
        <v>416</v>
      </c>
      <c r="L10" s="754" t="s">
        <v>416</v>
      </c>
      <c r="M10" s="792" t="s">
        <v>416</v>
      </c>
      <c r="N10" s="793" t="s">
        <v>418</v>
      </c>
      <c r="O10" s="1"/>
      <c r="P10" s="1"/>
      <c r="Q10" s="1"/>
      <c r="R10" s="1"/>
      <c r="S10" s="1"/>
      <c r="T10" s="1"/>
    </row>
    <row r="11" ht="14.25" customHeight="1">
      <c r="A11" s="1"/>
      <c r="B11" s="790" t="s">
        <v>332</v>
      </c>
      <c r="C11" s="299" t="s">
        <v>143</v>
      </c>
      <c r="D11" s="755" t="s">
        <v>143</v>
      </c>
      <c r="E11" s="300" t="s">
        <v>415</v>
      </c>
      <c r="F11" s="786" t="s">
        <v>143</v>
      </c>
      <c r="G11" s="791" t="s">
        <v>416</v>
      </c>
      <c r="H11" s="754" t="s">
        <v>416</v>
      </c>
      <c r="I11" s="754" t="s">
        <v>416</v>
      </c>
      <c r="J11" s="754">
        <v>1.0</v>
      </c>
      <c r="K11" s="754" t="s">
        <v>416</v>
      </c>
      <c r="L11" s="754" t="s">
        <v>416</v>
      </c>
      <c r="M11" s="792" t="s">
        <v>416</v>
      </c>
      <c r="N11" s="793" t="s">
        <v>415</v>
      </c>
      <c r="O11" s="1"/>
      <c r="P11" s="1"/>
      <c r="Q11" s="1"/>
      <c r="R11" s="1"/>
      <c r="S11" s="1"/>
      <c r="T11" s="1"/>
    </row>
    <row r="12" ht="14.25" customHeight="1">
      <c r="A12" s="1"/>
      <c r="B12" s="790" t="s">
        <v>333</v>
      </c>
      <c r="C12" s="299" t="s">
        <v>143</v>
      </c>
      <c r="D12" s="755" t="s">
        <v>143</v>
      </c>
      <c r="E12" s="300" t="s">
        <v>417</v>
      </c>
      <c r="F12" s="794" t="s">
        <v>416</v>
      </c>
      <c r="G12" s="791" t="s">
        <v>416</v>
      </c>
      <c r="H12" s="754" t="s">
        <v>416</v>
      </c>
      <c r="I12" s="754" t="s">
        <v>416</v>
      </c>
      <c r="J12" s="754">
        <v>1.0</v>
      </c>
      <c r="K12" s="754" t="s">
        <v>416</v>
      </c>
      <c r="L12" s="754" t="s">
        <v>416</v>
      </c>
      <c r="M12" s="792" t="s">
        <v>416</v>
      </c>
      <c r="N12" s="793" t="s">
        <v>418</v>
      </c>
      <c r="O12" s="1"/>
      <c r="P12" s="1"/>
      <c r="Q12" s="1"/>
      <c r="R12" s="1"/>
      <c r="S12" s="1"/>
      <c r="T12" s="1"/>
    </row>
    <row r="13" ht="14.25" customHeight="1">
      <c r="A13" s="1"/>
      <c r="B13" s="790" t="s">
        <v>334</v>
      </c>
      <c r="C13" s="299" t="s">
        <v>143</v>
      </c>
      <c r="D13" s="755" t="s">
        <v>143</v>
      </c>
      <c r="E13" s="300" t="s">
        <v>417</v>
      </c>
      <c r="F13" s="794" t="s">
        <v>416</v>
      </c>
      <c r="G13" s="791" t="s">
        <v>416</v>
      </c>
      <c r="H13" s="754" t="s">
        <v>416</v>
      </c>
      <c r="I13" s="754" t="s">
        <v>416</v>
      </c>
      <c r="J13" s="754">
        <v>1.0</v>
      </c>
      <c r="K13" s="754" t="s">
        <v>416</v>
      </c>
      <c r="L13" s="754" t="s">
        <v>416</v>
      </c>
      <c r="M13" s="792" t="s">
        <v>416</v>
      </c>
      <c r="N13" s="793" t="s">
        <v>418</v>
      </c>
      <c r="O13" s="1"/>
      <c r="P13" s="1"/>
      <c r="Q13" s="1"/>
      <c r="R13" s="1"/>
      <c r="S13" s="1"/>
      <c r="T13" s="1"/>
    </row>
    <row r="14" ht="14.25" customHeight="1">
      <c r="A14" s="1"/>
      <c r="B14" s="790" t="s">
        <v>335</v>
      </c>
      <c r="C14" s="299" t="s">
        <v>143</v>
      </c>
      <c r="D14" s="755" t="s">
        <v>143</v>
      </c>
      <c r="E14" s="300" t="s">
        <v>417</v>
      </c>
      <c r="F14" s="794" t="s">
        <v>416</v>
      </c>
      <c r="G14" s="791" t="s">
        <v>416</v>
      </c>
      <c r="H14" s="754" t="s">
        <v>416</v>
      </c>
      <c r="I14" s="754" t="s">
        <v>416</v>
      </c>
      <c r="J14" s="754">
        <v>1.0</v>
      </c>
      <c r="K14" s="754" t="s">
        <v>416</v>
      </c>
      <c r="L14" s="754" t="s">
        <v>416</v>
      </c>
      <c r="M14" s="792" t="s">
        <v>416</v>
      </c>
      <c r="N14" s="793" t="s">
        <v>418</v>
      </c>
      <c r="O14" s="1"/>
      <c r="P14" s="1"/>
      <c r="Q14" s="1"/>
      <c r="R14" s="1"/>
      <c r="S14" s="1"/>
      <c r="T14" s="1"/>
    </row>
    <row r="15" ht="14.25" customHeight="1">
      <c r="A15" s="1"/>
      <c r="B15" s="790" t="s">
        <v>336</v>
      </c>
      <c r="C15" s="299" t="s">
        <v>143</v>
      </c>
      <c r="D15" s="755" t="s">
        <v>143</v>
      </c>
      <c r="E15" s="300" t="s">
        <v>419</v>
      </c>
      <c r="F15" s="794" t="s">
        <v>416</v>
      </c>
      <c r="G15" s="791" t="s">
        <v>416</v>
      </c>
      <c r="H15" s="754" t="s">
        <v>416</v>
      </c>
      <c r="I15" s="754" t="s">
        <v>416</v>
      </c>
      <c r="J15" s="754">
        <v>1.0</v>
      </c>
      <c r="K15" s="754" t="s">
        <v>416</v>
      </c>
      <c r="L15" s="754" t="s">
        <v>416</v>
      </c>
      <c r="M15" s="792" t="s">
        <v>416</v>
      </c>
      <c r="N15" s="793" t="s">
        <v>420</v>
      </c>
      <c r="O15" s="1"/>
      <c r="P15" s="1"/>
      <c r="Q15" s="1"/>
      <c r="R15" s="1"/>
      <c r="S15" s="1"/>
      <c r="T15" s="1"/>
    </row>
    <row r="16" ht="14.25" customHeight="1">
      <c r="A16" s="1"/>
      <c r="B16" s="790" t="s">
        <v>337</v>
      </c>
      <c r="C16" s="299" t="s">
        <v>143</v>
      </c>
      <c r="D16" s="755" t="s">
        <v>143</v>
      </c>
      <c r="E16" s="300" t="s">
        <v>419</v>
      </c>
      <c r="F16" s="794" t="s">
        <v>416</v>
      </c>
      <c r="G16" s="791" t="s">
        <v>416</v>
      </c>
      <c r="H16" s="754" t="s">
        <v>416</v>
      </c>
      <c r="I16" s="754" t="s">
        <v>416</v>
      </c>
      <c r="J16" s="754">
        <v>1.0</v>
      </c>
      <c r="K16" s="754" t="s">
        <v>416</v>
      </c>
      <c r="L16" s="754" t="s">
        <v>416</v>
      </c>
      <c r="M16" s="792" t="s">
        <v>416</v>
      </c>
      <c r="N16" s="793" t="s">
        <v>420</v>
      </c>
      <c r="O16" s="1"/>
      <c r="P16" s="1"/>
      <c r="Q16" s="1"/>
      <c r="R16" s="1"/>
      <c r="S16" s="1"/>
      <c r="T16" s="1"/>
    </row>
    <row r="17" ht="14.25" customHeight="1">
      <c r="A17" s="1"/>
      <c r="B17" s="790" t="s">
        <v>338</v>
      </c>
      <c r="C17" s="791" t="s">
        <v>144</v>
      </c>
      <c r="D17" s="754" t="s">
        <v>421</v>
      </c>
      <c r="E17" s="792" t="s">
        <v>422</v>
      </c>
      <c r="F17" s="794" t="s">
        <v>413</v>
      </c>
      <c r="G17" s="791">
        <v>4.0</v>
      </c>
      <c r="H17" s="754">
        <v>7.0</v>
      </c>
      <c r="I17" s="754" t="s">
        <v>416</v>
      </c>
      <c r="J17" s="754" t="s">
        <v>416</v>
      </c>
      <c r="K17" s="754" t="s">
        <v>416</v>
      </c>
      <c r="L17" s="754">
        <v>10.0</v>
      </c>
      <c r="M17" s="792">
        <v>15.0</v>
      </c>
      <c r="N17" s="793" t="s">
        <v>423</v>
      </c>
      <c r="O17" s="1"/>
      <c r="P17" s="1"/>
      <c r="Q17" s="1"/>
      <c r="R17" s="1"/>
      <c r="S17" s="1"/>
      <c r="T17" s="1"/>
    </row>
    <row r="18" ht="14.25" customHeight="1">
      <c r="A18" s="1"/>
      <c r="B18" s="790" t="s">
        <v>339</v>
      </c>
      <c r="C18" s="791" t="s">
        <v>144</v>
      </c>
      <c r="D18" s="754" t="s">
        <v>421</v>
      </c>
      <c r="E18" s="792" t="s">
        <v>339</v>
      </c>
      <c r="F18" s="794" t="s">
        <v>413</v>
      </c>
      <c r="G18" s="791">
        <v>10.0</v>
      </c>
      <c r="H18" s="754">
        <v>15.0</v>
      </c>
      <c r="I18" s="754" t="s">
        <v>416</v>
      </c>
      <c r="J18" s="754" t="s">
        <v>416</v>
      </c>
      <c r="K18" s="754" t="s">
        <v>416</v>
      </c>
      <c r="L18" s="754">
        <v>10.0</v>
      </c>
      <c r="M18" s="792">
        <v>15.0</v>
      </c>
      <c r="N18" s="793" t="s">
        <v>424</v>
      </c>
      <c r="O18" s="1"/>
      <c r="P18" s="1"/>
      <c r="Q18" s="1"/>
      <c r="R18" s="1"/>
      <c r="S18" s="1"/>
      <c r="T18" s="1"/>
    </row>
    <row r="19" ht="14.25" customHeight="1">
      <c r="A19" s="1"/>
      <c r="B19" s="790" t="s">
        <v>340</v>
      </c>
      <c r="C19" s="791" t="s">
        <v>144</v>
      </c>
      <c r="D19" s="754" t="s">
        <v>421</v>
      </c>
      <c r="E19" s="792" t="s">
        <v>340</v>
      </c>
      <c r="F19" s="794" t="s">
        <v>413</v>
      </c>
      <c r="G19" s="791">
        <v>5.0</v>
      </c>
      <c r="H19" s="754">
        <v>10.0</v>
      </c>
      <c r="I19" s="754" t="s">
        <v>416</v>
      </c>
      <c r="J19" s="754" t="s">
        <v>416</v>
      </c>
      <c r="K19" s="754" t="s">
        <v>416</v>
      </c>
      <c r="L19" s="754">
        <v>10.0</v>
      </c>
      <c r="M19" s="792">
        <v>15.0</v>
      </c>
      <c r="N19" s="793" t="s">
        <v>424</v>
      </c>
      <c r="O19" s="1"/>
      <c r="P19" s="1"/>
      <c r="Q19" s="1"/>
      <c r="R19" s="1"/>
      <c r="S19" s="1"/>
      <c r="T19" s="1"/>
    </row>
    <row r="20" ht="14.25" customHeight="1">
      <c r="A20" s="1"/>
      <c r="B20" s="790" t="s">
        <v>341</v>
      </c>
      <c r="C20" s="791" t="s">
        <v>144</v>
      </c>
      <c r="D20" s="754" t="s">
        <v>421</v>
      </c>
      <c r="E20" s="792" t="s">
        <v>341</v>
      </c>
      <c r="F20" s="794" t="s">
        <v>413</v>
      </c>
      <c r="G20" s="791">
        <v>10.0</v>
      </c>
      <c r="H20" s="754">
        <v>15.0</v>
      </c>
      <c r="I20" s="754" t="s">
        <v>416</v>
      </c>
      <c r="J20" s="754" t="s">
        <v>416</v>
      </c>
      <c r="K20" s="754" t="s">
        <v>416</v>
      </c>
      <c r="L20" s="754">
        <v>10.0</v>
      </c>
      <c r="M20" s="792">
        <v>15.0</v>
      </c>
      <c r="N20" s="793" t="s">
        <v>424</v>
      </c>
      <c r="O20" s="1"/>
      <c r="P20" s="1"/>
      <c r="Q20" s="1"/>
      <c r="R20" s="1"/>
      <c r="S20" s="1"/>
      <c r="T20" s="1"/>
    </row>
    <row r="21" ht="14.25" customHeight="1">
      <c r="A21" s="1"/>
      <c r="B21" s="790" t="s">
        <v>342</v>
      </c>
      <c r="C21" s="791" t="s">
        <v>144</v>
      </c>
      <c r="D21" s="754" t="s">
        <v>421</v>
      </c>
      <c r="E21" s="792" t="s">
        <v>342</v>
      </c>
      <c r="F21" s="794" t="s">
        <v>413</v>
      </c>
      <c r="G21" s="791">
        <v>5.0</v>
      </c>
      <c r="H21" s="754">
        <v>10.0</v>
      </c>
      <c r="I21" s="754" t="s">
        <v>416</v>
      </c>
      <c r="J21" s="754" t="s">
        <v>416</v>
      </c>
      <c r="K21" s="754" t="s">
        <v>416</v>
      </c>
      <c r="L21" s="754">
        <v>3.0</v>
      </c>
      <c r="M21" s="792">
        <v>10.0</v>
      </c>
      <c r="N21" s="793" t="s">
        <v>424</v>
      </c>
      <c r="O21" s="1"/>
      <c r="P21" s="1"/>
      <c r="Q21" s="1"/>
      <c r="R21" s="1"/>
      <c r="S21" s="1"/>
      <c r="T21" s="1"/>
    </row>
    <row r="22" ht="14.25" customHeight="1">
      <c r="A22" s="1"/>
      <c r="B22" s="790" t="s">
        <v>119</v>
      </c>
      <c r="C22" s="299" t="s">
        <v>143</v>
      </c>
      <c r="D22" s="755" t="s">
        <v>143</v>
      </c>
      <c r="E22" s="792" t="s">
        <v>425</v>
      </c>
      <c r="F22" s="794" t="s">
        <v>416</v>
      </c>
      <c r="G22" s="791" t="s">
        <v>416</v>
      </c>
      <c r="H22" s="754" t="s">
        <v>416</v>
      </c>
      <c r="I22" s="754" t="s">
        <v>416</v>
      </c>
      <c r="J22" s="754">
        <v>1.0</v>
      </c>
      <c r="K22" s="754" t="s">
        <v>416</v>
      </c>
      <c r="L22" s="754" t="s">
        <v>416</v>
      </c>
      <c r="M22" s="792" t="s">
        <v>416</v>
      </c>
      <c r="N22" s="793" t="s">
        <v>426</v>
      </c>
      <c r="O22" s="1"/>
      <c r="P22" s="1"/>
      <c r="Q22" s="1"/>
      <c r="R22" s="1"/>
      <c r="S22" s="1"/>
      <c r="T22" s="1"/>
    </row>
    <row r="23" ht="14.25" customHeight="1">
      <c r="A23" s="1"/>
      <c r="B23" s="790" t="s">
        <v>343</v>
      </c>
      <c r="C23" s="791" t="s">
        <v>144</v>
      </c>
      <c r="D23" s="754" t="s">
        <v>421</v>
      </c>
      <c r="E23" s="792" t="s">
        <v>343</v>
      </c>
      <c r="F23" s="794" t="s">
        <v>413</v>
      </c>
      <c r="G23" s="791">
        <v>5.0</v>
      </c>
      <c r="H23" s="754">
        <v>10.0</v>
      </c>
      <c r="I23" s="754" t="s">
        <v>416</v>
      </c>
      <c r="J23" s="754" t="s">
        <v>416</v>
      </c>
      <c r="K23" s="754" t="s">
        <v>416</v>
      </c>
      <c r="L23" s="754">
        <v>3.0</v>
      </c>
      <c r="M23" s="792">
        <v>10.0</v>
      </c>
      <c r="N23" s="793" t="s">
        <v>424</v>
      </c>
      <c r="O23" s="1"/>
      <c r="P23" s="1"/>
      <c r="Q23" s="1"/>
      <c r="R23" s="1"/>
      <c r="S23" s="1"/>
      <c r="T23" s="1"/>
    </row>
    <row r="24" ht="14.25" customHeight="1">
      <c r="A24" s="1"/>
      <c r="B24" s="790" t="s">
        <v>344</v>
      </c>
      <c r="C24" s="791" t="s">
        <v>144</v>
      </c>
      <c r="D24" s="754" t="s">
        <v>421</v>
      </c>
      <c r="E24" s="792" t="s">
        <v>344</v>
      </c>
      <c r="F24" s="794" t="s">
        <v>413</v>
      </c>
      <c r="G24" s="791">
        <v>5.0</v>
      </c>
      <c r="H24" s="754">
        <v>10.0</v>
      </c>
      <c r="I24" s="754" t="s">
        <v>416</v>
      </c>
      <c r="J24" s="754" t="s">
        <v>416</v>
      </c>
      <c r="K24" s="754" t="s">
        <v>416</v>
      </c>
      <c r="L24" s="754">
        <v>3.0</v>
      </c>
      <c r="M24" s="792">
        <v>10.0</v>
      </c>
      <c r="N24" s="793" t="s">
        <v>424</v>
      </c>
      <c r="O24" s="1"/>
      <c r="P24" s="1"/>
      <c r="Q24" s="1"/>
      <c r="R24" s="1"/>
      <c r="S24" s="1"/>
      <c r="T24" s="1"/>
    </row>
    <row r="25" ht="14.25" customHeight="1">
      <c r="A25" s="1"/>
      <c r="B25" s="790" t="s">
        <v>345</v>
      </c>
      <c r="C25" s="791" t="s">
        <v>144</v>
      </c>
      <c r="D25" s="754" t="s">
        <v>421</v>
      </c>
      <c r="E25" s="792" t="s">
        <v>345</v>
      </c>
      <c r="F25" s="794" t="s">
        <v>413</v>
      </c>
      <c r="G25" s="791">
        <v>10.0</v>
      </c>
      <c r="H25" s="754">
        <v>15.0</v>
      </c>
      <c r="I25" s="754" t="s">
        <v>416</v>
      </c>
      <c r="J25" s="754" t="s">
        <v>416</v>
      </c>
      <c r="K25" s="754" t="s">
        <v>416</v>
      </c>
      <c r="L25" s="754">
        <v>7.0</v>
      </c>
      <c r="M25" s="792">
        <v>15.0</v>
      </c>
      <c r="N25" s="793" t="s">
        <v>424</v>
      </c>
      <c r="O25" s="1"/>
      <c r="P25" s="1"/>
      <c r="Q25" s="1"/>
      <c r="R25" s="1"/>
      <c r="S25" s="1"/>
      <c r="T25" s="1"/>
    </row>
    <row r="26" ht="14.25" customHeight="1">
      <c r="A26" s="1"/>
      <c r="B26" s="790" t="s">
        <v>346</v>
      </c>
      <c r="C26" s="791" t="s">
        <v>144</v>
      </c>
      <c r="D26" s="754" t="s">
        <v>421</v>
      </c>
      <c r="E26" s="792" t="s">
        <v>346</v>
      </c>
      <c r="F26" s="794" t="s">
        <v>413</v>
      </c>
      <c r="G26" s="791">
        <v>5.0</v>
      </c>
      <c r="H26" s="754">
        <v>10.0</v>
      </c>
      <c r="I26" s="754" t="s">
        <v>416</v>
      </c>
      <c r="J26" s="754" t="s">
        <v>416</v>
      </c>
      <c r="K26" s="754" t="s">
        <v>416</v>
      </c>
      <c r="L26" s="754">
        <v>3.0</v>
      </c>
      <c r="M26" s="792">
        <v>10.0</v>
      </c>
      <c r="N26" s="793" t="s">
        <v>424</v>
      </c>
      <c r="O26" s="1"/>
      <c r="P26" s="1"/>
      <c r="Q26" s="1"/>
      <c r="R26" s="1"/>
      <c r="S26" s="1"/>
      <c r="T26" s="1"/>
    </row>
    <row r="27" ht="14.25" customHeight="1">
      <c r="A27" s="1"/>
      <c r="B27" s="790" t="s">
        <v>347</v>
      </c>
      <c r="C27" s="299" t="s">
        <v>143</v>
      </c>
      <c r="D27" s="755" t="s">
        <v>143</v>
      </c>
      <c r="E27" s="792" t="s">
        <v>425</v>
      </c>
      <c r="F27" s="794" t="s">
        <v>416</v>
      </c>
      <c r="G27" s="791" t="s">
        <v>416</v>
      </c>
      <c r="H27" s="754" t="s">
        <v>416</v>
      </c>
      <c r="I27" s="754" t="s">
        <v>416</v>
      </c>
      <c r="J27" s="754">
        <v>1.0</v>
      </c>
      <c r="K27" s="754" t="s">
        <v>416</v>
      </c>
      <c r="L27" s="754" t="s">
        <v>416</v>
      </c>
      <c r="M27" s="792" t="s">
        <v>416</v>
      </c>
      <c r="N27" s="793" t="s">
        <v>426</v>
      </c>
      <c r="O27" s="1"/>
      <c r="P27" s="1"/>
      <c r="Q27" s="1"/>
      <c r="R27" s="1"/>
      <c r="S27" s="1"/>
      <c r="T27" s="1"/>
    </row>
    <row r="28" ht="14.25" customHeight="1">
      <c r="A28" s="1"/>
      <c r="B28" s="790" t="s">
        <v>348</v>
      </c>
      <c r="C28" s="299" t="s">
        <v>143</v>
      </c>
      <c r="D28" s="755" t="s">
        <v>143</v>
      </c>
      <c r="E28" s="792" t="s">
        <v>425</v>
      </c>
      <c r="F28" s="794" t="s">
        <v>416</v>
      </c>
      <c r="G28" s="791" t="s">
        <v>416</v>
      </c>
      <c r="H28" s="754" t="s">
        <v>416</v>
      </c>
      <c r="I28" s="754" t="s">
        <v>416</v>
      </c>
      <c r="J28" s="754">
        <v>1.0</v>
      </c>
      <c r="K28" s="754" t="s">
        <v>416</v>
      </c>
      <c r="L28" s="754" t="s">
        <v>416</v>
      </c>
      <c r="M28" s="792" t="s">
        <v>416</v>
      </c>
      <c r="N28" s="793" t="s">
        <v>426</v>
      </c>
      <c r="O28" s="1"/>
      <c r="P28" s="1"/>
      <c r="Q28" s="1"/>
      <c r="R28" s="1"/>
      <c r="S28" s="1"/>
      <c r="T28" s="1"/>
    </row>
    <row r="29" ht="14.25" customHeight="1">
      <c r="A29" s="1"/>
      <c r="B29" s="790" t="s">
        <v>349</v>
      </c>
      <c r="C29" s="791" t="s">
        <v>144</v>
      </c>
      <c r="D29" s="754" t="s">
        <v>421</v>
      </c>
      <c r="E29" s="792" t="s">
        <v>349</v>
      </c>
      <c r="F29" s="794" t="s">
        <v>413</v>
      </c>
      <c r="G29" s="791">
        <v>10.0</v>
      </c>
      <c r="H29" s="754">
        <v>15.0</v>
      </c>
      <c r="I29" s="754" t="s">
        <v>416</v>
      </c>
      <c r="J29" s="754" t="s">
        <v>416</v>
      </c>
      <c r="K29" s="754" t="s">
        <v>416</v>
      </c>
      <c r="L29" s="754">
        <v>7.0</v>
      </c>
      <c r="M29" s="792">
        <v>15.0</v>
      </c>
      <c r="N29" s="793" t="s">
        <v>424</v>
      </c>
      <c r="O29" s="1"/>
      <c r="P29" s="1"/>
      <c r="Q29" s="1"/>
      <c r="R29" s="1"/>
      <c r="S29" s="1"/>
      <c r="T29" s="1"/>
    </row>
    <row r="30" ht="14.25" customHeight="1">
      <c r="A30" s="1"/>
      <c r="B30" s="790" t="s">
        <v>350</v>
      </c>
      <c r="C30" s="791" t="s">
        <v>144</v>
      </c>
      <c r="D30" s="754" t="s">
        <v>421</v>
      </c>
      <c r="E30" s="792" t="s">
        <v>427</v>
      </c>
      <c r="F30" s="794" t="s">
        <v>413</v>
      </c>
      <c r="G30" s="791">
        <v>3.0</v>
      </c>
      <c r="H30" s="754">
        <v>5.0</v>
      </c>
      <c r="I30" s="754" t="s">
        <v>416</v>
      </c>
      <c r="J30" s="754" t="s">
        <v>416</v>
      </c>
      <c r="K30" s="754" t="s">
        <v>416</v>
      </c>
      <c r="L30" s="754">
        <v>4.0</v>
      </c>
      <c r="M30" s="792">
        <v>5.0</v>
      </c>
      <c r="N30" s="793" t="s">
        <v>428</v>
      </c>
      <c r="O30" s="1"/>
      <c r="P30" s="1"/>
      <c r="Q30" s="1"/>
      <c r="R30" s="1"/>
      <c r="S30" s="1"/>
      <c r="T30" s="1"/>
    </row>
    <row r="31" ht="14.25" customHeight="1">
      <c r="A31" s="1"/>
      <c r="B31" s="790" t="s">
        <v>352</v>
      </c>
      <c r="C31" s="791" t="s">
        <v>144</v>
      </c>
      <c r="D31" s="754" t="s">
        <v>421</v>
      </c>
      <c r="E31" s="792" t="s">
        <v>352</v>
      </c>
      <c r="F31" s="794" t="s">
        <v>413</v>
      </c>
      <c r="G31" s="791">
        <v>3.0</v>
      </c>
      <c r="H31" s="754">
        <v>5.0</v>
      </c>
      <c r="I31" s="754" t="s">
        <v>416</v>
      </c>
      <c r="J31" s="754" t="s">
        <v>416</v>
      </c>
      <c r="K31" s="754" t="s">
        <v>416</v>
      </c>
      <c r="L31" s="754">
        <v>4.0</v>
      </c>
      <c r="M31" s="792">
        <v>5.0</v>
      </c>
      <c r="N31" s="793" t="s">
        <v>424</v>
      </c>
      <c r="O31" s="1"/>
      <c r="P31" s="1"/>
      <c r="Q31" s="1"/>
      <c r="R31" s="1"/>
      <c r="S31" s="1"/>
      <c r="T31" s="1"/>
    </row>
    <row r="32" ht="14.25" customHeight="1">
      <c r="A32" s="1"/>
      <c r="B32" s="790" t="s">
        <v>353</v>
      </c>
      <c r="C32" s="791" t="s">
        <v>144</v>
      </c>
      <c r="D32" s="754" t="s">
        <v>421</v>
      </c>
      <c r="E32" s="792" t="s">
        <v>353</v>
      </c>
      <c r="F32" s="794" t="s">
        <v>413</v>
      </c>
      <c r="G32" s="791">
        <v>5.0</v>
      </c>
      <c r="H32" s="754">
        <v>10.0</v>
      </c>
      <c r="I32" s="754" t="s">
        <v>416</v>
      </c>
      <c r="J32" s="754" t="s">
        <v>416</v>
      </c>
      <c r="K32" s="754" t="s">
        <v>416</v>
      </c>
      <c r="L32" s="754">
        <v>20.0</v>
      </c>
      <c r="M32" s="792">
        <v>10.0</v>
      </c>
      <c r="N32" s="793" t="s">
        <v>424</v>
      </c>
      <c r="O32" s="1"/>
      <c r="P32" s="1"/>
      <c r="Q32" s="1"/>
      <c r="R32" s="1"/>
      <c r="S32" s="1"/>
      <c r="T32" s="1"/>
    </row>
    <row r="33" ht="14.25" customHeight="1">
      <c r="A33" s="1"/>
      <c r="B33" s="790" t="s">
        <v>354</v>
      </c>
      <c r="C33" s="791" t="s">
        <v>144</v>
      </c>
      <c r="D33" s="754" t="s">
        <v>421</v>
      </c>
      <c r="E33" s="792" t="s">
        <v>354</v>
      </c>
      <c r="F33" s="794" t="s">
        <v>413</v>
      </c>
      <c r="G33" s="791">
        <v>3.0</v>
      </c>
      <c r="H33" s="754">
        <v>5.0</v>
      </c>
      <c r="I33" s="754" t="s">
        <v>416</v>
      </c>
      <c r="J33" s="754" t="s">
        <v>416</v>
      </c>
      <c r="K33" s="754" t="s">
        <v>416</v>
      </c>
      <c r="L33" s="754">
        <v>2.0</v>
      </c>
      <c r="M33" s="792" t="s">
        <v>416</v>
      </c>
      <c r="N33" s="793" t="s">
        <v>424</v>
      </c>
      <c r="O33" s="1"/>
      <c r="P33" s="1"/>
      <c r="Q33" s="1"/>
      <c r="R33" s="1"/>
      <c r="S33" s="1"/>
      <c r="T33" s="1"/>
    </row>
    <row r="34" ht="14.25" customHeight="1">
      <c r="A34" s="1"/>
      <c r="B34" s="790" t="s">
        <v>355</v>
      </c>
      <c r="C34" s="791" t="s">
        <v>144</v>
      </c>
      <c r="D34" s="754" t="s">
        <v>421</v>
      </c>
      <c r="E34" s="792" t="s">
        <v>355</v>
      </c>
      <c r="F34" s="794" t="s">
        <v>413</v>
      </c>
      <c r="G34" s="791">
        <v>10.0</v>
      </c>
      <c r="H34" s="754">
        <v>20.0</v>
      </c>
      <c r="I34" s="754" t="s">
        <v>416</v>
      </c>
      <c r="J34" s="754" t="s">
        <v>416</v>
      </c>
      <c r="K34" s="754" t="s">
        <v>416</v>
      </c>
      <c r="L34" s="754">
        <v>10.0</v>
      </c>
      <c r="M34" s="792">
        <v>20.0</v>
      </c>
      <c r="N34" s="793" t="s">
        <v>424</v>
      </c>
      <c r="O34" s="1"/>
      <c r="P34" s="1"/>
      <c r="Q34" s="1"/>
      <c r="R34" s="1"/>
      <c r="S34" s="1"/>
      <c r="T34" s="1"/>
    </row>
    <row r="35" ht="14.25" customHeight="1">
      <c r="A35" s="1"/>
      <c r="B35" s="790" t="s">
        <v>356</v>
      </c>
      <c r="C35" s="791" t="s">
        <v>144</v>
      </c>
      <c r="D35" s="754" t="s">
        <v>421</v>
      </c>
      <c r="E35" s="790" t="s">
        <v>356</v>
      </c>
      <c r="F35" s="794" t="s">
        <v>413</v>
      </c>
      <c r="G35" s="791">
        <v>3.0</v>
      </c>
      <c r="H35" s="754">
        <v>5.0</v>
      </c>
      <c r="I35" s="754" t="s">
        <v>416</v>
      </c>
      <c r="J35" s="754" t="s">
        <v>416</v>
      </c>
      <c r="K35" s="754" t="s">
        <v>416</v>
      </c>
      <c r="L35" s="754">
        <v>2.0</v>
      </c>
      <c r="M35" s="792" t="s">
        <v>416</v>
      </c>
      <c r="N35" s="793" t="s">
        <v>424</v>
      </c>
      <c r="O35" s="1"/>
      <c r="P35" s="1"/>
      <c r="Q35" s="1"/>
      <c r="R35" s="1"/>
      <c r="S35" s="1"/>
      <c r="T35" s="1"/>
    </row>
    <row r="36" ht="14.25" customHeight="1">
      <c r="A36" s="1"/>
      <c r="B36" s="790" t="s">
        <v>357</v>
      </c>
      <c r="C36" s="791" t="s">
        <v>144</v>
      </c>
      <c r="D36" s="754" t="s">
        <v>421</v>
      </c>
      <c r="E36" s="792" t="s">
        <v>357</v>
      </c>
      <c r="F36" s="794" t="s">
        <v>413</v>
      </c>
      <c r="G36" s="791">
        <v>1.0</v>
      </c>
      <c r="H36" s="754">
        <v>1.0</v>
      </c>
      <c r="I36" s="754" t="s">
        <v>416</v>
      </c>
      <c r="J36" s="754" t="s">
        <v>416</v>
      </c>
      <c r="K36" s="754" t="s">
        <v>416</v>
      </c>
      <c r="L36" s="754">
        <v>1.0</v>
      </c>
      <c r="M36" s="792">
        <v>1.0</v>
      </c>
      <c r="N36" s="793" t="s">
        <v>424</v>
      </c>
      <c r="O36" s="1"/>
      <c r="P36" s="1"/>
      <c r="Q36" s="1"/>
      <c r="R36" s="1"/>
      <c r="S36" s="1"/>
      <c r="T36" s="1"/>
    </row>
    <row r="37" ht="14.25" customHeight="1">
      <c r="A37" s="1"/>
      <c r="B37" s="790" t="s">
        <v>358</v>
      </c>
      <c r="C37" s="791" t="s">
        <v>142</v>
      </c>
      <c r="D37" s="754" t="s">
        <v>142</v>
      </c>
      <c r="E37" s="300" t="s">
        <v>415</v>
      </c>
      <c r="F37" s="794" t="s">
        <v>416</v>
      </c>
      <c r="G37" s="791" t="s">
        <v>416</v>
      </c>
      <c r="H37" s="754" t="s">
        <v>416</v>
      </c>
      <c r="I37" s="754" t="s">
        <v>416</v>
      </c>
      <c r="J37" s="754" t="s">
        <v>416</v>
      </c>
      <c r="K37" s="754">
        <v>0.0</v>
      </c>
      <c r="L37" s="754" t="s">
        <v>416</v>
      </c>
      <c r="M37" s="792" t="s">
        <v>416</v>
      </c>
      <c r="N37" s="793" t="s">
        <v>415</v>
      </c>
      <c r="O37" s="1"/>
      <c r="P37" s="1"/>
      <c r="Q37" s="1"/>
      <c r="R37" s="1"/>
      <c r="S37" s="1"/>
      <c r="T37" s="1"/>
    </row>
    <row r="38" ht="14.25" customHeight="1">
      <c r="A38" s="1"/>
      <c r="B38" s="790" t="s">
        <v>361</v>
      </c>
      <c r="C38" s="791" t="s">
        <v>144</v>
      </c>
      <c r="D38" s="754" t="s">
        <v>421</v>
      </c>
      <c r="E38" s="792" t="s">
        <v>361</v>
      </c>
      <c r="F38" s="794" t="s">
        <v>413</v>
      </c>
      <c r="G38" s="791">
        <v>1.0</v>
      </c>
      <c r="H38" s="754">
        <v>3.0</v>
      </c>
      <c r="I38" s="754" t="s">
        <v>416</v>
      </c>
      <c r="J38" s="754" t="s">
        <v>416</v>
      </c>
      <c r="K38" s="754" t="s">
        <v>416</v>
      </c>
      <c r="L38" s="754">
        <v>2.0</v>
      </c>
      <c r="M38" s="792">
        <v>3.0</v>
      </c>
      <c r="N38" s="793" t="s">
        <v>424</v>
      </c>
      <c r="O38" s="1"/>
      <c r="P38" s="1"/>
      <c r="Q38" s="1"/>
      <c r="R38" s="1"/>
      <c r="S38" s="1"/>
      <c r="T38" s="1"/>
    </row>
    <row r="39" ht="14.25" customHeight="1">
      <c r="A39" s="1"/>
      <c r="B39" s="790" t="s">
        <v>362</v>
      </c>
      <c r="C39" s="791" t="s">
        <v>144</v>
      </c>
      <c r="D39" s="754" t="s">
        <v>421</v>
      </c>
      <c r="E39" s="792" t="s">
        <v>362</v>
      </c>
      <c r="F39" s="794" t="s">
        <v>413</v>
      </c>
      <c r="G39" s="791">
        <v>5.0</v>
      </c>
      <c r="H39" s="754">
        <v>10.0</v>
      </c>
      <c r="I39" s="754" t="s">
        <v>416</v>
      </c>
      <c r="J39" s="754" t="s">
        <v>416</v>
      </c>
      <c r="K39" s="754" t="s">
        <v>416</v>
      </c>
      <c r="L39" s="754">
        <v>5.0</v>
      </c>
      <c r="M39" s="792">
        <v>10.0</v>
      </c>
      <c r="N39" s="793" t="s">
        <v>424</v>
      </c>
      <c r="O39" s="1"/>
      <c r="P39" s="1"/>
      <c r="Q39" s="1"/>
      <c r="R39" s="1"/>
      <c r="S39" s="1"/>
      <c r="T39" s="1"/>
    </row>
    <row r="40" ht="14.25" customHeight="1">
      <c r="A40" s="1"/>
      <c r="B40" s="790" t="s">
        <v>363</v>
      </c>
      <c r="C40" s="791" t="s">
        <v>142</v>
      </c>
      <c r="D40" s="754" t="s">
        <v>142</v>
      </c>
      <c r="E40" s="300" t="s">
        <v>415</v>
      </c>
      <c r="F40" s="794" t="s">
        <v>416</v>
      </c>
      <c r="G40" s="791" t="s">
        <v>416</v>
      </c>
      <c r="H40" s="754" t="s">
        <v>416</v>
      </c>
      <c r="I40" s="754" t="s">
        <v>416</v>
      </c>
      <c r="J40" s="754" t="s">
        <v>416</v>
      </c>
      <c r="K40" s="754">
        <v>0.0</v>
      </c>
      <c r="L40" s="754" t="s">
        <v>416</v>
      </c>
      <c r="M40" s="792" t="s">
        <v>416</v>
      </c>
      <c r="N40" s="793" t="s">
        <v>415</v>
      </c>
      <c r="O40" s="1"/>
      <c r="P40" s="1"/>
      <c r="Q40" s="1"/>
      <c r="R40" s="1"/>
      <c r="S40" s="1"/>
      <c r="T40" s="1"/>
    </row>
    <row r="41" ht="14.25" customHeight="1">
      <c r="A41" s="1"/>
      <c r="B41" s="790" t="s">
        <v>364</v>
      </c>
      <c r="C41" s="791" t="s">
        <v>144</v>
      </c>
      <c r="D41" s="754" t="s">
        <v>421</v>
      </c>
      <c r="E41" s="792" t="s">
        <v>364</v>
      </c>
      <c r="F41" s="794" t="s">
        <v>413</v>
      </c>
      <c r="G41" s="791">
        <v>15.0</v>
      </c>
      <c r="H41" s="754">
        <v>20.0</v>
      </c>
      <c r="I41" s="754" t="s">
        <v>416</v>
      </c>
      <c r="J41" s="754" t="s">
        <v>416</v>
      </c>
      <c r="K41" s="754" t="s">
        <v>416</v>
      </c>
      <c r="L41" s="754">
        <v>15.0</v>
      </c>
      <c r="M41" s="792">
        <v>20.0</v>
      </c>
      <c r="N41" s="793" t="s">
        <v>424</v>
      </c>
      <c r="O41" s="1"/>
      <c r="P41" s="1"/>
      <c r="Q41" s="1"/>
      <c r="R41" s="1"/>
      <c r="S41" s="1"/>
      <c r="T41" s="1"/>
    </row>
    <row r="42" ht="14.25" customHeight="1">
      <c r="A42" s="1"/>
      <c r="B42" s="790" t="s">
        <v>115</v>
      </c>
      <c r="C42" s="791" t="s">
        <v>142</v>
      </c>
      <c r="D42" s="754" t="s">
        <v>142</v>
      </c>
      <c r="E42" s="300" t="s">
        <v>415</v>
      </c>
      <c r="F42" s="794" t="s">
        <v>416</v>
      </c>
      <c r="G42" s="791" t="s">
        <v>416</v>
      </c>
      <c r="H42" s="754" t="s">
        <v>416</v>
      </c>
      <c r="I42" s="754" t="s">
        <v>416</v>
      </c>
      <c r="J42" s="754" t="s">
        <v>416</v>
      </c>
      <c r="K42" s="754">
        <v>0.0</v>
      </c>
      <c r="L42" s="754" t="s">
        <v>416</v>
      </c>
      <c r="M42" s="792" t="s">
        <v>416</v>
      </c>
      <c r="N42" s="793" t="s">
        <v>415</v>
      </c>
      <c r="O42" s="1"/>
      <c r="P42" s="1"/>
      <c r="Q42" s="1"/>
      <c r="R42" s="1"/>
      <c r="S42" s="1"/>
      <c r="T42" s="1"/>
    </row>
    <row r="43" ht="14.25" customHeight="1">
      <c r="A43" s="1"/>
      <c r="B43" s="790" t="s">
        <v>369</v>
      </c>
      <c r="C43" s="299" t="s">
        <v>143</v>
      </c>
      <c r="D43" s="755" t="s">
        <v>143</v>
      </c>
      <c r="E43" s="792" t="s">
        <v>362</v>
      </c>
      <c r="F43" s="794" t="s">
        <v>416</v>
      </c>
      <c r="G43" s="791" t="s">
        <v>416</v>
      </c>
      <c r="H43" s="754" t="s">
        <v>416</v>
      </c>
      <c r="I43" s="754" t="s">
        <v>416</v>
      </c>
      <c r="J43" s="754">
        <v>1.0</v>
      </c>
      <c r="K43" s="754" t="s">
        <v>416</v>
      </c>
      <c r="L43" s="754" t="s">
        <v>416</v>
      </c>
      <c r="M43" s="754" t="s">
        <v>416</v>
      </c>
      <c r="N43" s="793" t="s">
        <v>429</v>
      </c>
      <c r="O43" s="1"/>
      <c r="P43" s="1"/>
      <c r="Q43" s="1"/>
      <c r="R43" s="1"/>
      <c r="S43" s="1"/>
      <c r="T43" s="1"/>
    </row>
    <row r="44" ht="14.25" customHeight="1">
      <c r="A44" s="1"/>
      <c r="B44" s="790" t="s">
        <v>366</v>
      </c>
      <c r="C44" s="791" t="s">
        <v>144</v>
      </c>
      <c r="D44" s="754" t="s">
        <v>421</v>
      </c>
      <c r="E44" s="792" t="s">
        <v>366</v>
      </c>
      <c r="F44" s="794" t="s">
        <v>413</v>
      </c>
      <c r="G44" s="791">
        <v>3.0</v>
      </c>
      <c r="H44" s="754">
        <v>5.0</v>
      </c>
      <c r="I44" s="754" t="s">
        <v>416</v>
      </c>
      <c r="J44" s="754" t="s">
        <v>416</v>
      </c>
      <c r="K44" s="754" t="s">
        <v>416</v>
      </c>
      <c r="L44" s="754">
        <v>2.0</v>
      </c>
      <c r="M44" s="792">
        <v>5.0</v>
      </c>
      <c r="N44" s="793" t="s">
        <v>424</v>
      </c>
      <c r="O44" s="1"/>
      <c r="P44" s="1"/>
      <c r="Q44" s="1"/>
      <c r="R44" s="1"/>
      <c r="S44" s="1"/>
      <c r="T44" s="1"/>
    </row>
    <row r="45" ht="14.25" customHeight="1">
      <c r="A45" s="1"/>
      <c r="B45" s="790" t="s">
        <v>367</v>
      </c>
      <c r="C45" s="791" t="s">
        <v>144</v>
      </c>
      <c r="D45" s="754" t="s">
        <v>421</v>
      </c>
      <c r="E45" s="792" t="s">
        <v>367</v>
      </c>
      <c r="F45" s="794" t="s">
        <v>413</v>
      </c>
      <c r="G45" s="791">
        <v>3.0</v>
      </c>
      <c r="H45" s="754">
        <v>5.0</v>
      </c>
      <c r="I45" s="754" t="s">
        <v>416</v>
      </c>
      <c r="J45" s="754" t="s">
        <v>416</v>
      </c>
      <c r="K45" s="754" t="s">
        <v>416</v>
      </c>
      <c r="L45" s="754">
        <v>2.0</v>
      </c>
      <c r="M45" s="792">
        <v>5.0</v>
      </c>
      <c r="N45" s="793" t="s">
        <v>424</v>
      </c>
      <c r="O45" s="1"/>
      <c r="P45" s="1"/>
      <c r="Q45" s="1"/>
      <c r="R45" s="1"/>
      <c r="S45" s="1"/>
      <c r="T45" s="1"/>
    </row>
    <row r="46" ht="14.25" customHeight="1">
      <c r="A46" s="1"/>
      <c r="B46" s="790" t="s">
        <v>368</v>
      </c>
      <c r="C46" s="299" t="s">
        <v>143</v>
      </c>
      <c r="D46" s="755" t="s">
        <v>143</v>
      </c>
      <c r="E46" s="300" t="s">
        <v>415</v>
      </c>
      <c r="F46" s="794" t="s">
        <v>416</v>
      </c>
      <c r="G46" s="791" t="s">
        <v>416</v>
      </c>
      <c r="H46" s="754" t="s">
        <v>416</v>
      </c>
      <c r="I46" s="754" t="s">
        <v>416</v>
      </c>
      <c r="J46" s="754">
        <v>1.0</v>
      </c>
      <c r="K46" s="754" t="s">
        <v>416</v>
      </c>
      <c r="L46" s="754" t="s">
        <v>416</v>
      </c>
      <c r="M46" s="792" t="s">
        <v>416</v>
      </c>
      <c r="N46" s="793" t="s">
        <v>415</v>
      </c>
      <c r="O46" s="1"/>
      <c r="P46" s="1"/>
      <c r="Q46" s="1"/>
      <c r="R46" s="1"/>
      <c r="S46" s="1"/>
      <c r="T46" s="1"/>
    </row>
    <row r="47" ht="14.25" customHeight="1">
      <c r="A47" s="1"/>
      <c r="B47" s="790" t="s">
        <v>365</v>
      </c>
      <c r="C47" s="791" t="s">
        <v>144</v>
      </c>
      <c r="D47" s="754" t="s">
        <v>421</v>
      </c>
      <c r="E47" s="792" t="s">
        <v>430</v>
      </c>
      <c r="F47" s="794" t="s">
        <v>413</v>
      </c>
      <c r="G47" s="791">
        <v>3.0</v>
      </c>
      <c r="H47" s="754">
        <v>5.0</v>
      </c>
      <c r="I47" s="754" t="s">
        <v>416</v>
      </c>
      <c r="J47" s="754" t="s">
        <v>416</v>
      </c>
      <c r="K47" s="754" t="s">
        <v>416</v>
      </c>
      <c r="L47" s="754">
        <v>2.0</v>
      </c>
      <c r="M47" s="792">
        <v>10.0</v>
      </c>
      <c r="N47" s="793" t="s">
        <v>431</v>
      </c>
      <c r="O47" s="1"/>
      <c r="P47" s="1"/>
      <c r="Q47" s="1"/>
      <c r="R47" s="1"/>
      <c r="S47" s="1"/>
      <c r="T47" s="1"/>
    </row>
    <row r="48" ht="14.25" customHeight="1">
      <c r="A48" s="1"/>
      <c r="B48" s="790" t="s">
        <v>370</v>
      </c>
      <c r="C48" s="299" t="s">
        <v>143</v>
      </c>
      <c r="D48" s="755" t="s">
        <v>143</v>
      </c>
      <c r="E48" s="300" t="s">
        <v>415</v>
      </c>
      <c r="F48" s="794" t="s">
        <v>416</v>
      </c>
      <c r="G48" s="791" t="s">
        <v>416</v>
      </c>
      <c r="H48" s="754" t="s">
        <v>416</v>
      </c>
      <c r="I48" s="754" t="s">
        <v>416</v>
      </c>
      <c r="J48" s="754">
        <v>1.0</v>
      </c>
      <c r="K48" s="754" t="s">
        <v>416</v>
      </c>
      <c r="L48" s="754" t="s">
        <v>416</v>
      </c>
      <c r="M48" s="792" t="s">
        <v>416</v>
      </c>
      <c r="N48" s="793" t="s">
        <v>415</v>
      </c>
      <c r="O48" s="1"/>
      <c r="P48" s="1"/>
      <c r="Q48" s="1"/>
      <c r="R48" s="1"/>
      <c r="S48" s="1"/>
      <c r="T48" s="1"/>
    </row>
    <row r="49" ht="14.25" customHeight="1">
      <c r="A49" s="1"/>
      <c r="B49" s="790" t="s">
        <v>371</v>
      </c>
      <c r="C49" s="791" t="s">
        <v>144</v>
      </c>
      <c r="D49" s="754" t="s">
        <v>421</v>
      </c>
      <c r="E49" s="792" t="s">
        <v>371</v>
      </c>
      <c r="F49" s="794" t="s">
        <v>413</v>
      </c>
      <c r="G49" s="791">
        <v>3.0</v>
      </c>
      <c r="H49" s="754">
        <v>5.0</v>
      </c>
      <c r="I49" s="754" t="s">
        <v>416</v>
      </c>
      <c r="J49" s="754" t="s">
        <v>416</v>
      </c>
      <c r="K49" s="754" t="s">
        <v>416</v>
      </c>
      <c r="L49" s="754">
        <v>1.0</v>
      </c>
      <c r="M49" s="792">
        <v>1.0</v>
      </c>
      <c r="N49" s="793" t="s">
        <v>424</v>
      </c>
      <c r="O49" s="1"/>
      <c r="P49" s="1"/>
      <c r="Q49" s="1"/>
      <c r="R49" s="1"/>
      <c r="S49" s="1"/>
      <c r="T49" s="1"/>
    </row>
    <row r="50" ht="14.25" customHeight="1">
      <c r="A50" s="1"/>
      <c r="B50" s="790" t="s">
        <v>372</v>
      </c>
      <c r="C50" s="299" t="s">
        <v>143</v>
      </c>
      <c r="D50" s="755" t="s">
        <v>143</v>
      </c>
      <c r="E50" s="792" t="s">
        <v>355</v>
      </c>
      <c r="F50" s="794" t="s">
        <v>416</v>
      </c>
      <c r="G50" s="791" t="s">
        <v>416</v>
      </c>
      <c r="H50" s="754" t="s">
        <v>416</v>
      </c>
      <c r="I50" s="754" t="s">
        <v>416</v>
      </c>
      <c r="J50" s="754">
        <v>1.0</v>
      </c>
      <c r="K50" s="754" t="s">
        <v>416</v>
      </c>
      <c r="L50" s="754" t="s">
        <v>416</v>
      </c>
      <c r="M50" s="792" t="s">
        <v>416</v>
      </c>
      <c r="N50" s="793" t="s">
        <v>432</v>
      </c>
      <c r="O50" s="1"/>
      <c r="P50" s="1"/>
      <c r="Q50" s="1"/>
      <c r="R50" s="1"/>
      <c r="S50" s="1"/>
      <c r="T50" s="1"/>
    </row>
    <row r="51" ht="14.25" customHeight="1">
      <c r="A51" s="1"/>
      <c r="B51" s="790" t="s">
        <v>122</v>
      </c>
      <c r="C51" s="791" t="s">
        <v>144</v>
      </c>
      <c r="D51" s="754" t="s">
        <v>421</v>
      </c>
      <c r="E51" s="790" t="s">
        <v>122</v>
      </c>
      <c r="F51" s="794" t="s">
        <v>413</v>
      </c>
      <c r="G51" s="791">
        <v>27.0</v>
      </c>
      <c r="H51" s="754" t="s">
        <v>433</v>
      </c>
      <c r="I51" s="754" t="s">
        <v>416</v>
      </c>
      <c r="J51" s="754" t="s">
        <v>416</v>
      </c>
      <c r="K51" s="754" t="s">
        <v>416</v>
      </c>
      <c r="L51" s="754">
        <v>16.0</v>
      </c>
      <c r="M51" s="792" t="s">
        <v>416</v>
      </c>
      <c r="N51" s="793" t="s">
        <v>415</v>
      </c>
      <c r="O51" s="1"/>
      <c r="P51" s="1"/>
      <c r="Q51" s="1"/>
      <c r="R51" s="1"/>
      <c r="S51" s="1"/>
      <c r="T51" s="1"/>
    </row>
    <row r="52" ht="14.25" customHeight="1">
      <c r="A52" s="1"/>
      <c r="B52" s="790" t="s">
        <v>373</v>
      </c>
      <c r="C52" s="791" t="s">
        <v>144</v>
      </c>
      <c r="D52" s="754" t="s">
        <v>421</v>
      </c>
      <c r="E52" s="792" t="s">
        <v>373</v>
      </c>
      <c r="F52" s="794" t="s">
        <v>413</v>
      </c>
      <c r="G52" s="791">
        <v>3.0</v>
      </c>
      <c r="H52" s="754">
        <v>5.0</v>
      </c>
      <c r="I52" s="754" t="s">
        <v>416</v>
      </c>
      <c r="J52" s="754" t="s">
        <v>416</v>
      </c>
      <c r="K52" s="754" t="s">
        <v>416</v>
      </c>
      <c r="L52" s="754">
        <v>2.0</v>
      </c>
      <c r="M52" s="792">
        <v>5.0</v>
      </c>
      <c r="N52" s="793" t="s">
        <v>424</v>
      </c>
      <c r="O52" s="1"/>
      <c r="P52" s="1"/>
      <c r="Q52" s="1"/>
      <c r="R52" s="1"/>
      <c r="S52" s="1"/>
      <c r="T52" s="1"/>
    </row>
    <row r="53" ht="14.25" customHeight="1">
      <c r="A53" s="1"/>
      <c r="B53" s="790" t="s">
        <v>374</v>
      </c>
      <c r="C53" s="791" t="s">
        <v>142</v>
      </c>
      <c r="D53" s="754" t="s">
        <v>142</v>
      </c>
      <c r="E53" s="300" t="s">
        <v>415</v>
      </c>
      <c r="F53" s="794" t="s">
        <v>416</v>
      </c>
      <c r="G53" s="791" t="s">
        <v>416</v>
      </c>
      <c r="H53" s="754" t="s">
        <v>416</v>
      </c>
      <c r="I53" s="754" t="s">
        <v>416</v>
      </c>
      <c r="J53" s="754" t="s">
        <v>416</v>
      </c>
      <c r="K53" s="754">
        <v>0.0</v>
      </c>
      <c r="L53" s="754" t="s">
        <v>416</v>
      </c>
      <c r="M53" s="792" t="s">
        <v>416</v>
      </c>
      <c r="N53" s="793" t="s">
        <v>415</v>
      </c>
      <c r="O53" s="1"/>
      <c r="P53" s="1"/>
      <c r="Q53" s="1"/>
      <c r="R53" s="1"/>
      <c r="S53" s="1"/>
      <c r="T53" s="1"/>
    </row>
    <row r="54" ht="14.25" customHeight="1">
      <c r="A54" s="1"/>
      <c r="B54" s="790" t="s">
        <v>375</v>
      </c>
      <c r="C54" s="791" t="s">
        <v>144</v>
      </c>
      <c r="D54" s="754" t="s">
        <v>421</v>
      </c>
      <c r="E54" s="792" t="s">
        <v>375</v>
      </c>
      <c r="F54" s="794" t="s">
        <v>413</v>
      </c>
      <c r="G54" s="791">
        <v>3.0</v>
      </c>
      <c r="H54" s="754">
        <v>5.0</v>
      </c>
      <c r="I54" s="754" t="s">
        <v>416</v>
      </c>
      <c r="J54" s="754" t="s">
        <v>416</v>
      </c>
      <c r="K54" s="754" t="s">
        <v>416</v>
      </c>
      <c r="L54" s="754">
        <v>1.0</v>
      </c>
      <c r="M54" s="792">
        <v>1.0</v>
      </c>
      <c r="N54" s="793" t="s">
        <v>424</v>
      </c>
      <c r="O54" s="1"/>
      <c r="P54" s="1"/>
      <c r="Q54" s="1"/>
      <c r="R54" s="1"/>
      <c r="S54" s="1"/>
      <c r="T54" s="1"/>
    </row>
    <row r="55" ht="14.25" customHeight="1">
      <c r="A55" s="1"/>
      <c r="B55" s="790" t="s">
        <v>117</v>
      </c>
      <c r="C55" s="299" t="s">
        <v>143</v>
      </c>
      <c r="D55" s="755" t="s">
        <v>143</v>
      </c>
      <c r="E55" s="300" t="s">
        <v>415</v>
      </c>
      <c r="F55" s="794" t="s">
        <v>416</v>
      </c>
      <c r="G55" s="791" t="s">
        <v>416</v>
      </c>
      <c r="H55" s="754" t="s">
        <v>416</v>
      </c>
      <c r="I55" s="754" t="s">
        <v>416</v>
      </c>
      <c r="J55" s="754">
        <v>1.0</v>
      </c>
      <c r="K55" s="754" t="s">
        <v>416</v>
      </c>
      <c r="L55" s="754">
        <v>2.0</v>
      </c>
      <c r="M55" s="792">
        <v>5.0</v>
      </c>
      <c r="N55" s="793" t="s">
        <v>424</v>
      </c>
      <c r="O55" s="1"/>
      <c r="P55" s="1"/>
      <c r="Q55" s="1"/>
      <c r="R55" s="1"/>
      <c r="S55" s="1"/>
      <c r="T55" s="1"/>
    </row>
    <row r="56" ht="14.25" customHeight="1">
      <c r="A56" s="1"/>
      <c r="B56" s="790" t="s">
        <v>376</v>
      </c>
      <c r="C56" s="791" t="s">
        <v>144</v>
      </c>
      <c r="D56" s="754" t="s">
        <v>421</v>
      </c>
      <c r="E56" s="794" t="s">
        <v>376</v>
      </c>
      <c r="F56" s="794" t="s">
        <v>413</v>
      </c>
      <c r="G56" s="791">
        <v>3.0</v>
      </c>
      <c r="H56" s="754">
        <v>5.0</v>
      </c>
      <c r="I56" s="754" t="s">
        <v>416</v>
      </c>
      <c r="J56" s="754" t="s">
        <v>416</v>
      </c>
      <c r="K56" s="754" t="s">
        <v>416</v>
      </c>
      <c r="L56" s="754">
        <v>1.0</v>
      </c>
      <c r="M56" s="792">
        <v>1.0</v>
      </c>
      <c r="N56" s="793" t="s">
        <v>424</v>
      </c>
      <c r="O56" s="1"/>
      <c r="P56" s="1"/>
      <c r="Q56" s="1"/>
      <c r="R56" s="1"/>
      <c r="S56" s="1"/>
      <c r="T56" s="1"/>
    </row>
    <row r="57" ht="14.25" customHeight="1">
      <c r="A57" s="1"/>
      <c r="B57" s="790" t="s">
        <v>377</v>
      </c>
      <c r="C57" s="791" t="s">
        <v>144</v>
      </c>
      <c r="D57" s="754" t="s">
        <v>421</v>
      </c>
      <c r="E57" s="792" t="s">
        <v>434</v>
      </c>
      <c r="F57" s="794" t="s">
        <v>413</v>
      </c>
      <c r="G57" s="791">
        <v>30.0</v>
      </c>
      <c r="H57" s="754" t="s">
        <v>433</v>
      </c>
      <c r="I57" s="754" t="s">
        <v>416</v>
      </c>
      <c r="J57" s="754" t="s">
        <v>416</v>
      </c>
      <c r="K57" s="754" t="s">
        <v>416</v>
      </c>
      <c r="L57" s="754" t="s">
        <v>433</v>
      </c>
      <c r="M57" s="792" t="s">
        <v>416</v>
      </c>
      <c r="N57" s="793" t="s">
        <v>435</v>
      </c>
      <c r="O57" s="1"/>
      <c r="P57" s="1"/>
      <c r="Q57" s="1"/>
      <c r="R57" s="1"/>
      <c r="S57" s="1"/>
      <c r="T57" s="1"/>
    </row>
    <row r="58" ht="14.25" customHeight="1">
      <c r="A58" s="1"/>
      <c r="B58" s="790" t="s">
        <v>378</v>
      </c>
      <c r="C58" s="791" t="s">
        <v>144</v>
      </c>
      <c r="D58" s="754" t="s">
        <v>421</v>
      </c>
      <c r="E58" s="792" t="s">
        <v>378</v>
      </c>
      <c r="F58" s="794" t="s">
        <v>413</v>
      </c>
      <c r="G58" s="791" t="s">
        <v>433</v>
      </c>
      <c r="H58" s="754" t="s">
        <v>433</v>
      </c>
      <c r="I58" s="754" t="s">
        <v>416</v>
      </c>
      <c r="J58" s="754" t="s">
        <v>416</v>
      </c>
      <c r="K58" s="754" t="s">
        <v>416</v>
      </c>
      <c r="L58" s="754">
        <v>15.0</v>
      </c>
      <c r="M58" s="792" t="s">
        <v>433</v>
      </c>
      <c r="N58" s="793" t="s">
        <v>424</v>
      </c>
      <c r="O58" s="1"/>
      <c r="P58" s="1"/>
      <c r="Q58" s="1"/>
      <c r="R58" s="1"/>
      <c r="S58" s="1"/>
      <c r="T58" s="1"/>
    </row>
    <row r="59" ht="14.25" customHeight="1">
      <c r="A59" s="1"/>
      <c r="B59" s="790" t="s">
        <v>379</v>
      </c>
      <c r="C59" s="791" t="s">
        <v>144</v>
      </c>
      <c r="D59" s="754" t="s">
        <v>421</v>
      </c>
      <c r="E59" s="792" t="s">
        <v>379</v>
      </c>
      <c r="F59" s="794" t="s">
        <v>413</v>
      </c>
      <c r="G59" s="791">
        <v>15.0</v>
      </c>
      <c r="H59" s="754" t="s">
        <v>433</v>
      </c>
      <c r="I59" s="754" t="s">
        <v>416</v>
      </c>
      <c r="J59" s="754" t="s">
        <v>416</v>
      </c>
      <c r="K59" s="754" t="s">
        <v>416</v>
      </c>
      <c r="L59" s="754">
        <v>10.0</v>
      </c>
      <c r="M59" s="792">
        <v>25.0</v>
      </c>
      <c r="N59" s="793" t="s">
        <v>424</v>
      </c>
      <c r="O59" s="1"/>
      <c r="P59" s="1"/>
      <c r="Q59" s="1"/>
      <c r="R59" s="1"/>
      <c r="S59" s="1"/>
      <c r="T59" s="1"/>
    </row>
    <row r="60" ht="14.25" customHeight="1">
      <c r="A60" s="1"/>
      <c r="B60" s="790" t="s">
        <v>380</v>
      </c>
      <c r="C60" s="791" t="s">
        <v>144</v>
      </c>
      <c r="D60" s="754" t="s">
        <v>421</v>
      </c>
      <c r="E60" s="792" t="s">
        <v>380</v>
      </c>
      <c r="F60" s="794" t="s">
        <v>413</v>
      </c>
      <c r="G60" s="791">
        <v>30.0</v>
      </c>
      <c r="H60" s="754" t="s">
        <v>433</v>
      </c>
      <c r="I60" s="754" t="s">
        <v>416</v>
      </c>
      <c r="J60" s="754" t="s">
        <v>416</v>
      </c>
      <c r="K60" s="754" t="s">
        <v>416</v>
      </c>
      <c r="L60" s="754">
        <v>10.0</v>
      </c>
      <c r="M60" s="792">
        <v>25.0</v>
      </c>
      <c r="N60" s="793" t="s">
        <v>424</v>
      </c>
      <c r="O60" s="1"/>
      <c r="P60" s="1"/>
      <c r="Q60" s="1"/>
      <c r="R60" s="1"/>
      <c r="S60" s="1"/>
      <c r="T60" s="1"/>
    </row>
    <row r="61" ht="14.25" customHeight="1">
      <c r="A61" s="1"/>
      <c r="B61" s="790" t="s">
        <v>381</v>
      </c>
      <c r="C61" s="791" t="s">
        <v>144</v>
      </c>
      <c r="D61" s="754" t="s">
        <v>421</v>
      </c>
      <c r="E61" s="792" t="s">
        <v>381</v>
      </c>
      <c r="F61" s="794" t="s">
        <v>413</v>
      </c>
      <c r="G61" s="791">
        <v>1.0</v>
      </c>
      <c r="H61" s="754">
        <v>3.0</v>
      </c>
      <c r="I61" s="754" t="s">
        <v>416</v>
      </c>
      <c r="J61" s="754" t="s">
        <v>416</v>
      </c>
      <c r="K61" s="754" t="s">
        <v>416</v>
      </c>
      <c r="L61" s="754">
        <v>2.0</v>
      </c>
      <c r="M61" s="792" t="s">
        <v>416</v>
      </c>
      <c r="N61" s="793" t="s">
        <v>424</v>
      </c>
      <c r="O61" s="1"/>
      <c r="P61" s="1"/>
      <c r="Q61" s="1"/>
      <c r="R61" s="1"/>
      <c r="S61" s="1"/>
      <c r="T61" s="1"/>
    </row>
    <row r="62" ht="14.25" customHeight="1">
      <c r="A62" s="1"/>
      <c r="B62" s="790" t="s">
        <v>382</v>
      </c>
      <c r="C62" s="791" t="s">
        <v>144</v>
      </c>
      <c r="D62" s="754" t="s">
        <v>421</v>
      </c>
      <c r="E62" s="792" t="s">
        <v>382</v>
      </c>
      <c r="F62" s="794" t="s">
        <v>413</v>
      </c>
      <c r="G62" s="791">
        <v>7.0</v>
      </c>
      <c r="H62" s="754">
        <v>15.0</v>
      </c>
      <c r="I62" s="754" t="s">
        <v>416</v>
      </c>
      <c r="J62" s="754" t="s">
        <v>416</v>
      </c>
      <c r="K62" s="754" t="s">
        <v>416</v>
      </c>
      <c r="L62" s="754">
        <v>14.0</v>
      </c>
      <c r="M62" s="792" t="s">
        <v>416</v>
      </c>
      <c r="N62" s="793" t="s">
        <v>424</v>
      </c>
      <c r="O62" s="1"/>
      <c r="P62" s="1"/>
      <c r="Q62" s="1"/>
      <c r="R62" s="1"/>
      <c r="S62" s="1"/>
      <c r="T62" s="1"/>
    </row>
    <row r="63" ht="14.25" customHeight="1">
      <c r="A63" s="1"/>
      <c r="B63" s="790" t="s">
        <v>383</v>
      </c>
      <c r="C63" s="791" t="s">
        <v>144</v>
      </c>
      <c r="D63" s="754" t="s">
        <v>421</v>
      </c>
      <c r="E63" s="792" t="s">
        <v>383</v>
      </c>
      <c r="F63" s="794" t="s">
        <v>413</v>
      </c>
      <c r="G63" s="791">
        <v>1.0</v>
      </c>
      <c r="H63" s="754">
        <v>3.0</v>
      </c>
      <c r="I63" s="754" t="s">
        <v>416</v>
      </c>
      <c r="J63" s="754" t="s">
        <v>416</v>
      </c>
      <c r="K63" s="754" t="s">
        <v>416</v>
      </c>
      <c r="L63" s="754">
        <v>2.0</v>
      </c>
      <c r="M63" s="792" t="s">
        <v>416</v>
      </c>
      <c r="N63" s="793" t="s">
        <v>424</v>
      </c>
      <c r="O63" s="1"/>
      <c r="P63" s="1"/>
      <c r="Q63" s="1"/>
      <c r="R63" s="1"/>
      <c r="S63" s="1"/>
      <c r="T63" s="1"/>
    </row>
    <row r="64" ht="14.25" customHeight="1">
      <c r="A64" s="1"/>
      <c r="B64" s="790" t="s">
        <v>384</v>
      </c>
      <c r="C64" s="791" t="s">
        <v>144</v>
      </c>
      <c r="D64" s="754" t="s">
        <v>421</v>
      </c>
      <c r="E64" s="792" t="s">
        <v>384</v>
      </c>
      <c r="F64" s="794" t="s">
        <v>413</v>
      </c>
      <c r="G64" s="791">
        <v>3.0</v>
      </c>
      <c r="H64" s="754">
        <v>6.0</v>
      </c>
      <c r="I64" s="754" t="s">
        <v>416</v>
      </c>
      <c r="J64" s="754" t="s">
        <v>416</v>
      </c>
      <c r="K64" s="754" t="s">
        <v>416</v>
      </c>
      <c r="L64" s="754">
        <v>4.0</v>
      </c>
      <c r="M64" s="792" t="s">
        <v>416</v>
      </c>
      <c r="N64" s="793" t="s">
        <v>424</v>
      </c>
      <c r="O64" s="1"/>
      <c r="P64" s="1"/>
      <c r="Q64" s="1"/>
      <c r="R64" s="1"/>
      <c r="S64" s="1"/>
      <c r="T64" s="1"/>
    </row>
    <row r="65" ht="14.25" customHeight="1">
      <c r="A65" s="1"/>
      <c r="B65" s="790" t="s">
        <v>385</v>
      </c>
      <c r="C65" s="791" t="s">
        <v>144</v>
      </c>
      <c r="D65" s="754" t="s">
        <v>421</v>
      </c>
      <c r="E65" s="792" t="s">
        <v>385</v>
      </c>
      <c r="F65" s="794" t="s">
        <v>413</v>
      </c>
      <c r="G65" s="791">
        <v>1.0</v>
      </c>
      <c r="H65" s="754">
        <v>4.0</v>
      </c>
      <c r="I65" s="754" t="s">
        <v>416</v>
      </c>
      <c r="J65" s="754" t="s">
        <v>416</v>
      </c>
      <c r="K65" s="754" t="s">
        <v>416</v>
      </c>
      <c r="L65" s="754">
        <v>3.0</v>
      </c>
      <c r="M65" s="792" t="s">
        <v>416</v>
      </c>
      <c r="N65" s="793" t="s">
        <v>424</v>
      </c>
      <c r="O65" s="1"/>
      <c r="P65" s="1"/>
      <c r="Q65" s="1"/>
      <c r="R65" s="1"/>
      <c r="S65" s="1"/>
      <c r="T65" s="1"/>
    </row>
    <row r="66" ht="14.25" customHeight="1">
      <c r="A66" s="1"/>
      <c r="B66" s="790" t="s">
        <v>386</v>
      </c>
      <c r="C66" s="791" t="s">
        <v>144</v>
      </c>
      <c r="D66" s="754" t="s">
        <v>421</v>
      </c>
      <c r="E66" s="792" t="s">
        <v>386</v>
      </c>
      <c r="F66" s="794" t="s">
        <v>413</v>
      </c>
      <c r="G66" s="791">
        <v>3.0</v>
      </c>
      <c r="H66" s="754">
        <v>5.0</v>
      </c>
      <c r="I66" s="754" t="s">
        <v>416</v>
      </c>
      <c r="J66" s="754" t="s">
        <v>416</v>
      </c>
      <c r="K66" s="754" t="s">
        <v>416</v>
      </c>
      <c r="L66" s="754">
        <v>4.0</v>
      </c>
      <c r="M66" s="792" t="s">
        <v>416</v>
      </c>
      <c r="N66" s="793" t="s">
        <v>424</v>
      </c>
      <c r="O66" s="1"/>
      <c r="P66" s="1"/>
      <c r="Q66" s="1"/>
      <c r="R66" s="1"/>
      <c r="S66" s="1"/>
      <c r="T66" s="1"/>
    </row>
    <row r="67" ht="14.25" customHeight="1">
      <c r="A67" s="1"/>
      <c r="B67" s="790" t="s">
        <v>387</v>
      </c>
      <c r="C67" s="791" t="s">
        <v>144</v>
      </c>
      <c r="D67" s="754" t="s">
        <v>421</v>
      </c>
      <c r="E67" s="792" t="s">
        <v>387</v>
      </c>
      <c r="F67" s="794" t="s">
        <v>413</v>
      </c>
      <c r="G67" s="791">
        <v>3.0</v>
      </c>
      <c r="H67" s="754">
        <v>5.0</v>
      </c>
      <c r="I67" s="754" t="s">
        <v>416</v>
      </c>
      <c r="J67" s="754" t="s">
        <v>416</v>
      </c>
      <c r="K67" s="754" t="s">
        <v>416</v>
      </c>
      <c r="L67" s="754">
        <v>2.0</v>
      </c>
      <c r="M67" s="792" t="s">
        <v>416</v>
      </c>
      <c r="N67" s="793" t="s">
        <v>424</v>
      </c>
      <c r="O67" s="1"/>
      <c r="P67" s="1"/>
      <c r="Q67" s="1"/>
      <c r="R67" s="1"/>
      <c r="S67" s="1"/>
      <c r="T67" s="1"/>
    </row>
    <row r="68" ht="14.25" customHeight="1">
      <c r="A68" s="1"/>
      <c r="B68" s="790" t="s">
        <v>388</v>
      </c>
      <c r="C68" s="791" t="s">
        <v>144</v>
      </c>
      <c r="D68" s="754" t="s">
        <v>421</v>
      </c>
      <c r="E68" s="792" t="s">
        <v>388</v>
      </c>
      <c r="F68" s="794" t="s">
        <v>413</v>
      </c>
      <c r="G68" s="791">
        <v>10.0</v>
      </c>
      <c r="H68" s="754">
        <v>20.0</v>
      </c>
      <c r="I68" s="754" t="s">
        <v>416</v>
      </c>
      <c r="J68" s="754" t="s">
        <v>416</v>
      </c>
      <c r="K68" s="754" t="s">
        <v>416</v>
      </c>
      <c r="L68" s="754">
        <v>20.0</v>
      </c>
      <c r="M68" s="792" t="s">
        <v>416</v>
      </c>
      <c r="N68" s="793" t="s">
        <v>424</v>
      </c>
      <c r="O68" s="1"/>
      <c r="P68" s="1"/>
      <c r="Q68" s="1"/>
      <c r="R68" s="1"/>
      <c r="S68" s="1"/>
      <c r="T68" s="1"/>
    </row>
    <row r="69" ht="14.25" customHeight="1">
      <c r="A69" s="1"/>
      <c r="B69" s="790" t="s">
        <v>389</v>
      </c>
      <c r="C69" s="791" t="s">
        <v>144</v>
      </c>
      <c r="D69" s="754" t="s">
        <v>421</v>
      </c>
      <c r="E69" s="792" t="s">
        <v>389</v>
      </c>
      <c r="F69" s="794" t="s">
        <v>413</v>
      </c>
      <c r="G69" s="791">
        <v>5.0</v>
      </c>
      <c r="H69" s="754">
        <v>15.0</v>
      </c>
      <c r="I69" s="754" t="s">
        <v>416</v>
      </c>
      <c r="J69" s="754" t="s">
        <v>416</v>
      </c>
      <c r="K69" s="754" t="s">
        <v>416</v>
      </c>
      <c r="L69" s="754">
        <v>6.0</v>
      </c>
      <c r="M69" s="792" t="s">
        <v>416</v>
      </c>
      <c r="N69" s="793" t="s">
        <v>424</v>
      </c>
      <c r="O69" s="1"/>
      <c r="P69" s="1"/>
      <c r="Q69" s="1"/>
      <c r="R69" s="1"/>
      <c r="S69" s="1"/>
      <c r="T69" s="1"/>
    </row>
    <row r="70" ht="14.25" customHeight="1">
      <c r="A70" s="1"/>
      <c r="B70" s="790" t="s">
        <v>390</v>
      </c>
      <c r="C70" s="791" t="s">
        <v>144</v>
      </c>
      <c r="D70" s="754" t="s">
        <v>421</v>
      </c>
      <c r="E70" s="792" t="s">
        <v>390</v>
      </c>
      <c r="F70" s="794" t="s">
        <v>413</v>
      </c>
      <c r="G70" s="791">
        <v>1.0</v>
      </c>
      <c r="H70" s="754">
        <v>4.0</v>
      </c>
      <c r="I70" s="754" t="s">
        <v>416</v>
      </c>
      <c r="J70" s="754" t="s">
        <v>416</v>
      </c>
      <c r="K70" s="754" t="s">
        <v>416</v>
      </c>
      <c r="L70" s="754">
        <v>3.0</v>
      </c>
      <c r="M70" s="792" t="s">
        <v>416</v>
      </c>
      <c r="N70" s="793" t="s">
        <v>424</v>
      </c>
      <c r="O70" s="1"/>
      <c r="P70" s="1"/>
      <c r="Q70" s="1"/>
      <c r="R70" s="1"/>
      <c r="S70" s="1"/>
      <c r="T70" s="1"/>
    </row>
    <row r="71" ht="14.25" customHeight="1">
      <c r="A71" s="1"/>
      <c r="B71" s="790" t="s">
        <v>391</v>
      </c>
      <c r="C71" s="791" t="s">
        <v>144</v>
      </c>
      <c r="D71" s="754" t="s">
        <v>421</v>
      </c>
      <c r="E71" s="792" t="s">
        <v>436</v>
      </c>
      <c r="F71" s="794" t="s">
        <v>413</v>
      </c>
      <c r="G71" s="791">
        <v>5.0</v>
      </c>
      <c r="H71" s="754">
        <v>15.0</v>
      </c>
      <c r="I71" s="754" t="s">
        <v>416</v>
      </c>
      <c r="J71" s="754" t="s">
        <v>416</v>
      </c>
      <c r="K71" s="754" t="s">
        <v>416</v>
      </c>
      <c r="L71" s="754">
        <v>8.0</v>
      </c>
      <c r="M71" s="792" t="s">
        <v>416</v>
      </c>
      <c r="N71" s="793" t="s">
        <v>437</v>
      </c>
      <c r="O71" s="1"/>
      <c r="P71" s="1"/>
      <c r="Q71" s="1"/>
      <c r="R71" s="1"/>
      <c r="S71" s="1"/>
      <c r="T71" s="1"/>
    </row>
    <row r="72" ht="14.25" customHeight="1">
      <c r="A72" s="1"/>
      <c r="B72" s="790" t="s">
        <v>392</v>
      </c>
      <c r="C72" s="791" t="s">
        <v>144</v>
      </c>
      <c r="D72" s="754" t="s">
        <v>421</v>
      </c>
      <c r="E72" s="792" t="s">
        <v>438</v>
      </c>
      <c r="F72" s="794" t="s">
        <v>413</v>
      </c>
      <c r="G72" s="791">
        <v>4.0</v>
      </c>
      <c r="H72" s="754">
        <v>13.0</v>
      </c>
      <c r="I72" s="754" t="s">
        <v>416</v>
      </c>
      <c r="J72" s="754" t="s">
        <v>416</v>
      </c>
      <c r="K72" s="754" t="s">
        <v>416</v>
      </c>
      <c r="L72" s="754">
        <v>7.0</v>
      </c>
      <c r="M72" s="792" t="s">
        <v>416</v>
      </c>
      <c r="N72" s="793" t="s">
        <v>437</v>
      </c>
      <c r="O72" s="1"/>
      <c r="P72" s="1"/>
      <c r="Q72" s="1"/>
      <c r="R72" s="1"/>
      <c r="S72" s="1"/>
      <c r="T72" s="1"/>
    </row>
    <row r="73" ht="14.25" customHeight="1">
      <c r="A73" s="1"/>
      <c r="B73" s="790" t="s">
        <v>393</v>
      </c>
      <c r="C73" s="791" t="s">
        <v>144</v>
      </c>
      <c r="D73" s="754" t="s">
        <v>421</v>
      </c>
      <c r="E73" s="792" t="s">
        <v>393</v>
      </c>
      <c r="F73" s="794" t="s">
        <v>413</v>
      </c>
      <c r="G73" s="791">
        <v>4.0</v>
      </c>
      <c r="H73" s="754">
        <v>13.0</v>
      </c>
      <c r="I73" s="754" t="s">
        <v>416</v>
      </c>
      <c r="J73" s="754" t="s">
        <v>416</v>
      </c>
      <c r="K73" s="754" t="s">
        <v>416</v>
      </c>
      <c r="L73" s="754">
        <v>7.0</v>
      </c>
      <c r="M73" s="792">
        <v>13.0</v>
      </c>
      <c r="N73" s="793" t="s">
        <v>424</v>
      </c>
      <c r="O73" s="1"/>
      <c r="P73" s="1"/>
      <c r="Q73" s="1"/>
      <c r="R73" s="1"/>
      <c r="S73" s="1"/>
      <c r="T73" s="1"/>
    </row>
    <row r="74" ht="14.25" customHeight="1">
      <c r="A74" s="1"/>
      <c r="B74" s="790" t="s">
        <v>262</v>
      </c>
      <c r="C74" s="791" t="s">
        <v>144</v>
      </c>
      <c r="D74" s="754" t="s">
        <v>421</v>
      </c>
      <c r="E74" s="792" t="s">
        <v>262</v>
      </c>
      <c r="F74" s="794" t="s">
        <v>413</v>
      </c>
      <c r="G74" s="791">
        <v>5.0</v>
      </c>
      <c r="H74" s="754">
        <v>12.0</v>
      </c>
      <c r="I74" s="754" t="s">
        <v>416</v>
      </c>
      <c r="J74" s="754" t="s">
        <v>416</v>
      </c>
      <c r="K74" s="754" t="s">
        <v>416</v>
      </c>
      <c r="L74" s="754">
        <v>2.0</v>
      </c>
      <c r="M74" s="300">
        <v>5.0</v>
      </c>
      <c r="N74" s="793" t="s">
        <v>424</v>
      </c>
      <c r="O74" s="1"/>
      <c r="P74" s="1"/>
      <c r="Q74" s="1"/>
      <c r="R74" s="1"/>
      <c r="S74" s="1"/>
      <c r="T74" s="1"/>
    </row>
    <row r="75" ht="14.25" customHeight="1">
      <c r="A75" s="1"/>
      <c r="B75" s="790" t="s">
        <v>263</v>
      </c>
      <c r="C75" s="791" t="s">
        <v>144</v>
      </c>
      <c r="D75" s="754" t="s">
        <v>421</v>
      </c>
      <c r="E75" s="792" t="s">
        <v>263</v>
      </c>
      <c r="F75" s="794" t="s">
        <v>413</v>
      </c>
      <c r="G75" s="791">
        <v>5.0</v>
      </c>
      <c r="H75" s="754">
        <v>12.0</v>
      </c>
      <c r="I75" s="754" t="s">
        <v>416</v>
      </c>
      <c r="J75" s="754" t="s">
        <v>416</v>
      </c>
      <c r="K75" s="754" t="s">
        <v>416</v>
      </c>
      <c r="L75" s="754">
        <v>2.0</v>
      </c>
      <c r="M75" s="300">
        <v>6.0</v>
      </c>
      <c r="N75" s="793" t="s">
        <v>424</v>
      </c>
      <c r="O75" s="1"/>
      <c r="P75" s="1"/>
      <c r="Q75" s="1"/>
      <c r="R75" s="1"/>
      <c r="S75" s="1"/>
      <c r="T75" s="1"/>
    </row>
    <row r="76" ht="14.25" customHeight="1">
      <c r="A76" s="1"/>
      <c r="B76" s="790" t="s">
        <v>264</v>
      </c>
      <c r="C76" s="791" t="s">
        <v>144</v>
      </c>
      <c r="D76" s="754" t="s">
        <v>421</v>
      </c>
      <c r="E76" s="792" t="s">
        <v>264</v>
      </c>
      <c r="F76" s="794" t="s">
        <v>413</v>
      </c>
      <c r="G76" s="791">
        <v>10.0</v>
      </c>
      <c r="H76" s="754">
        <v>20.0</v>
      </c>
      <c r="I76" s="754" t="s">
        <v>416</v>
      </c>
      <c r="J76" s="754" t="s">
        <v>416</v>
      </c>
      <c r="K76" s="754" t="s">
        <v>416</v>
      </c>
      <c r="L76" s="754">
        <v>4.0</v>
      </c>
      <c r="M76" s="300">
        <v>12.0</v>
      </c>
      <c r="N76" s="793" t="s">
        <v>424</v>
      </c>
      <c r="O76" s="1"/>
      <c r="P76" s="1"/>
      <c r="Q76" s="1"/>
      <c r="R76" s="1"/>
      <c r="S76" s="1"/>
      <c r="T76" s="1"/>
    </row>
    <row r="77" ht="14.25" customHeight="1">
      <c r="A77" s="1"/>
      <c r="B77" s="790" t="s">
        <v>255</v>
      </c>
      <c r="C77" s="791" t="s">
        <v>144</v>
      </c>
      <c r="D77" s="754" t="s">
        <v>421</v>
      </c>
      <c r="E77" s="792" t="s">
        <v>439</v>
      </c>
      <c r="F77" s="794" t="s">
        <v>413</v>
      </c>
      <c r="G77" s="791">
        <v>5.0</v>
      </c>
      <c r="H77" s="754">
        <v>12.0</v>
      </c>
      <c r="I77" s="754" t="s">
        <v>416</v>
      </c>
      <c r="J77" s="754" t="s">
        <v>416</v>
      </c>
      <c r="K77" s="754" t="s">
        <v>416</v>
      </c>
      <c r="L77" s="754">
        <v>2.0</v>
      </c>
      <c r="M77" s="300" t="s">
        <v>416</v>
      </c>
      <c r="N77" s="793" t="s">
        <v>440</v>
      </c>
      <c r="O77" s="1"/>
      <c r="P77" s="1"/>
      <c r="Q77" s="1"/>
      <c r="R77" s="1"/>
      <c r="S77" s="1"/>
      <c r="T77" s="1"/>
    </row>
    <row r="78" ht="14.25" customHeight="1">
      <c r="A78" s="1"/>
      <c r="B78" s="790" t="s">
        <v>254</v>
      </c>
      <c r="C78" s="299" t="s">
        <v>414</v>
      </c>
      <c r="D78" s="755" t="s">
        <v>414</v>
      </c>
      <c r="E78" s="300" t="s">
        <v>415</v>
      </c>
      <c r="F78" s="794" t="s">
        <v>416</v>
      </c>
      <c r="G78" s="791" t="s">
        <v>416</v>
      </c>
      <c r="H78" s="754" t="s">
        <v>416</v>
      </c>
      <c r="I78" s="754">
        <v>1.0</v>
      </c>
      <c r="J78" s="754" t="s">
        <v>416</v>
      </c>
      <c r="K78" s="754" t="s">
        <v>416</v>
      </c>
      <c r="L78" s="754" t="s">
        <v>416</v>
      </c>
      <c r="M78" s="300" t="s">
        <v>416</v>
      </c>
      <c r="N78" s="793" t="s">
        <v>415</v>
      </c>
      <c r="O78" s="1"/>
      <c r="P78" s="1"/>
      <c r="Q78" s="1"/>
      <c r="R78" s="1"/>
      <c r="S78" s="1"/>
      <c r="T78" s="1"/>
    </row>
    <row r="79" ht="14.25" customHeight="1">
      <c r="A79" s="1"/>
      <c r="B79" s="790" t="s">
        <v>268</v>
      </c>
      <c r="C79" s="791" t="s">
        <v>144</v>
      </c>
      <c r="D79" s="754" t="s">
        <v>421</v>
      </c>
      <c r="E79" s="300" t="s">
        <v>441</v>
      </c>
      <c r="F79" s="794" t="s">
        <v>413</v>
      </c>
      <c r="G79" s="791">
        <v>20.0</v>
      </c>
      <c r="H79" s="754" t="s">
        <v>433</v>
      </c>
      <c r="I79" s="754" t="s">
        <v>416</v>
      </c>
      <c r="J79" s="754" t="s">
        <v>416</v>
      </c>
      <c r="K79" s="754" t="s">
        <v>442</v>
      </c>
      <c r="L79" s="754">
        <v>10.0</v>
      </c>
      <c r="M79" s="300" t="s">
        <v>442</v>
      </c>
      <c r="N79" s="793" t="s">
        <v>443</v>
      </c>
      <c r="O79" s="1"/>
      <c r="P79" s="1"/>
      <c r="Q79" s="1"/>
      <c r="R79" s="1"/>
      <c r="S79" s="1"/>
      <c r="T79" s="1"/>
    </row>
    <row r="80" ht="14.25" customHeight="1">
      <c r="A80" s="1"/>
      <c r="B80" s="790" t="s">
        <v>265</v>
      </c>
      <c r="C80" s="791" t="s">
        <v>144</v>
      </c>
      <c r="D80" s="754" t="s">
        <v>421</v>
      </c>
      <c r="E80" s="792" t="s">
        <v>444</v>
      </c>
      <c r="F80" s="794" t="s">
        <v>413</v>
      </c>
      <c r="G80" s="791">
        <v>20.0</v>
      </c>
      <c r="H80" s="754" t="s">
        <v>433</v>
      </c>
      <c r="I80" s="754" t="s">
        <v>416</v>
      </c>
      <c r="J80" s="754" t="s">
        <v>416</v>
      </c>
      <c r="K80" s="754" t="s">
        <v>416</v>
      </c>
      <c r="L80" s="754">
        <v>10.0</v>
      </c>
      <c r="M80" s="300" t="s">
        <v>416</v>
      </c>
      <c r="N80" s="793" t="s">
        <v>445</v>
      </c>
      <c r="O80" s="1"/>
      <c r="P80" s="1"/>
      <c r="Q80" s="1"/>
      <c r="R80" s="1"/>
      <c r="S80" s="1"/>
      <c r="T80" s="1"/>
    </row>
    <row r="81" ht="14.25" customHeight="1">
      <c r="A81" s="1"/>
      <c r="B81" s="790" t="s">
        <v>269</v>
      </c>
      <c r="C81" s="791" t="s">
        <v>144</v>
      </c>
      <c r="D81" s="754" t="s">
        <v>421</v>
      </c>
      <c r="E81" s="300" t="s">
        <v>446</v>
      </c>
      <c r="F81" s="794" t="s">
        <v>413</v>
      </c>
      <c r="G81" s="791">
        <v>20.0</v>
      </c>
      <c r="H81" s="754" t="s">
        <v>433</v>
      </c>
      <c r="I81" s="754" t="s">
        <v>416</v>
      </c>
      <c r="J81" s="754" t="s">
        <v>416</v>
      </c>
      <c r="K81" s="754" t="s">
        <v>416</v>
      </c>
      <c r="L81" s="754">
        <v>10.0</v>
      </c>
      <c r="M81" s="300">
        <v>10.0</v>
      </c>
      <c r="N81" s="793" t="s">
        <v>443</v>
      </c>
      <c r="O81" s="1"/>
      <c r="P81" s="1"/>
      <c r="Q81" s="1"/>
      <c r="R81" s="1"/>
      <c r="S81" s="1"/>
      <c r="T81" s="1"/>
    </row>
    <row r="82" ht="14.25" customHeight="1">
      <c r="A82" s="1"/>
      <c r="B82" s="790" t="s">
        <v>266</v>
      </c>
      <c r="C82" s="791" t="s">
        <v>144</v>
      </c>
      <c r="D82" s="754" t="s">
        <v>421</v>
      </c>
      <c r="E82" s="792" t="s">
        <v>447</v>
      </c>
      <c r="F82" s="794" t="s">
        <v>413</v>
      </c>
      <c r="G82" s="791">
        <v>20.0</v>
      </c>
      <c r="H82" s="754" t="s">
        <v>433</v>
      </c>
      <c r="I82" s="754" t="s">
        <v>416</v>
      </c>
      <c r="J82" s="754" t="s">
        <v>416</v>
      </c>
      <c r="K82" s="754" t="s">
        <v>416</v>
      </c>
      <c r="L82" s="754">
        <v>10.0</v>
      </c>
      <c r="M82" s="300">
        <v>10.0</v>
      </c>
      <c r="N82" s="793" t="s">
        <v>424</v>
      </c>
      <c r="O82" s="1"/>
      <c r="P82" s="1"/>
      <c r="Q82" s="1"/>
      <c r="R82" s="1"/>
      <c r="S82" s="1"/>
      <c r="T82" s="1"/>
    </row>
    <row r="83" ht="14.25" customHeight="1">
      <c r="A83" s="1"/>
      <c r="B83" s="790" t="s">
        <v>288</v>
      </c>
      <c r="C83" s="791" t="s">
        <v>144</v>
      </c>
      <c r="D83" s="754" t="s">
        <v>421</v>
      </c>
      <c r="E83" s="792" t="s">
        <v>288</v>
      </c>
      <c r="F83" s="794" t="s">
        <v>413</v>
      </c>
      <c r="G83" s="791">
        <v>5.0</v>
      </c>
      <c r="H83" s="754">
        <v>10.0</v>
      </c>
      <c r="I83" s="754" t="s">
        <v>416</v>
      </c>
      <c r="J83" s="754" t="s">
        <v>416</v>
      </c>
      <c r="K83" s="754" t="s">
        <v>416</v>
      </c>
      <c r="L83" s="754">
        <v>4.0</v>
      </c>
      <c r="M83" s="300">
        <v>10.0</v>
      </c>
      <c r="N83" s="793" t="s">
        <v>424</v>
      </c>
      <c r="O83" s="1"/>
      <c r="P83" s="1"/>
      <c r="Q83" s="1"/>
      <c r="R83" s="1"/>
      <c r="S83" s="1"/>
      <c r="T83" s="1"/>
    </row>
    <row r="84" ht="14.25" customHeight="1">
      <c r="A84" s="1"/>
      <c r="B84" s="790" t="s">
        <v>287</v>
      </c>
      <c r="C84" s="791" t="s">
        <v>144</v>
      </c>
      <c r="D84" s="754" t="s">
        <v>421</v>
      </c>
      <c r="E84" s="792" t="s">
        <v>287</v>
      </c>
      <c r="F84" s="794" t="s">
        <v>413</v>
      </c>
      <c r="G84" s="791">
        <v>5.0</v>
      </c>
      <c r="H84" s="754">
        <v>10.0</v>
      </c>
      <c r="I84" s="754" t="s">
        <v>416</v>
      </c>
      <c r="J84" s="754" t="s">
        <v>416</v>
      </c>
      <c r="K84" s="754" t="s">
        <v>416</v>
      </c>
      <c r="L84" s="754">
        <v>4.0</v>
      </c>
      <c r="M84" s="300">
        <v>10.0</v>
      </c>
      <c r="N84" s="793" t="s">
        <v>424</v>
      </c>
      <c r="O84" s="1"/>
      <c r="P84" s="1"/>
      <c r="Q84" s="1"/>
      <c r="R84" s="1"/>
      <c r="S84" s="1"/>
      <c r="T84" s="1"/>
    </row>
    <row r="85" ht="14.25" customHeight="1">
      <c r="A85" s="1"/>
      <c r="B85" s="790" t="s">
        <v>289</v>
      </c>
      <c r="C85" s="299" t="s">
        <v>414</v>
      </c>
      <c r="D85" s="755" t="s">
        <v>414</v>
      </c>
      <c r="E85" s="300" t="s">
        <v>448</v>
      </c>
      <c r="F85" s="794" t="s">
        <v>416</v>
      </c>
      <c r="G85" s="791" t="s">
        <v>416</v>
      </c>
      <c r="H85" s="754" t="s">
        <v>416</v>
      </c>
      <c r="I85" s="754">
        <v>1.0</v>
      </c>
      <c r="J85" s="754" t="s">
        <v>416</v>
      </c>
      <c r="K85" s="754" t="s">
        <v>416</v>
      </c>
      <c r="L85" s="754" t="s">
        <v>416</v>
      </c>
      <c r="M85" s="300" t="s">
        <v>416</v>
      </c>
      <c r="N85" s="793" t="s">
        <v>449</v>
      </c>
      <c r="O85" s="1"/>
      <c r="P85" s="1"/>
      <c r="Q85" s="1"/>
      <c r="R85" s="1"/>
      <c r="S85" s="1"/>
      <c r="T85" s="1"/>
    </row>
    <row r="86" ht="14.25" customHeight="1">
      <c r="A86" s="1"/>
      <c r="B86" s="790"/>
      <c r="C86" s="791"/>
      <c r="D86" s="754"/>
      <c r="E86" s="792"/>
      <c r="F86" s="794"/>
      <c r="G86" s="791"/>
      <c r="H86" s="754"/>
      <c r="I86" s="754"/>
      <c r="J86" s="754"/>
      <c r="K86" s="754"/>
      <c r="L86" s="754"/>
      <c r="M86" s="792"/>
      <c r="N86" s="790"/>
      <c r="O86" s="1"/>
      <c r="P86" s="1"/>
      <c r="Q86" s="1"/>
      <c r="R86" s="1"/>
      <c r="S86" s="1"/>
      <c r="T86" s="1"/>
    </row>
    <row r="87" ht="14.25" customHeight="1">
      <c r="A87" s="1"/>
      <c r="B87" s="790"/>
      <c r="C87" s="791"/>
      <c r="D87" s="754"/>
      <c r="E87" s="792"/>
      <c r="F87" s="794"/>
      <c r="G87" s="791"/>
      <c r="H87" s="754"/>
      <c r="I87" s="754"/>
      <c r="J87" s="754"/>
      <c r="K87" s="754"/>
      <c r="L87" s="754"/>
      <c r="M87" s="792"/>
      <c r="N87" s="790"/>
      <c r="O87" s="1"/>
      <c r="P87" s="1"/>
      <c r="Q87" s="1"/>
      <c r="R87" s="1"/>
      <c r="S87" s="1"/>
      <c r="T87" s="1"/>
    </row>
    <row r="88" ht="14.25" customHeight="1">
      <c r="A88" s="1"/>
      <c r="B88" s="790"/>
      <c r="C88" s="791"/>
      <c r="D88" s="754"/>
      <c r="E88" s="792"/>
      <c r="F88" s="794"/>
      <c r="G88" s="791"/>
      <c r="H88" s="754"/>
      <c r="I88" s="754"/>
      <c r="J88" s="754"/>
      <c r="K88" s="754"/>
      <c r="L88" s="754"/>
      <c r="M88" s="792"/>
      <c r="N88" s="790"/>
      <c r="O88" s="1"/>
      <c r="P88" s="1"/>
      <c r="Q88" s="1"/>
      <c r="R88" s="1"/>
      <c r="S88" s="1"/>
      <c r="T88" s="1"/>
    </row>
    <row r="89" ht="14.25" customHeight="1">
      <c r="A89" s="1"/>
      <c r="B89" s="790"/>
      <c r="C89" s="791"/>
      <c r="D89" s="754"/>
      <c r="E89" s="792"/>
      <c r="F89" s="794"/>
      <c r="G89" s="791"/>
      <c r="H89" s="754"/>
      <c r="I89" s="754"/>
      <c r="J89" s="754"/>
      <c r="K89" s="754"/>
      <c r="L89" s="754"/>
      <c r="M89" s="792"/>
      <c r="N89" s="790"/>
      <c r="O89" s="1"/>
      <c r="P89" s="1"/>
      <c r="Q89" s="1"/>
      <c r="R89" s="1"/>
      <c r="S89" s="1"/>
      <c r="T89" s="1"/>
    </row>
    <row r="90" ht="14.25" customHeight="1">
      <c r="A90" s="1"/>
      <c r="B90" s="790"/>
      <c r="C90" s="791"/>
      <c r="D90" s="754"/>
      <c r="E90" s="792"/>
      <c r="F90" s="794"/>
      <c r="G90" s="791"/>
      <c r="H90" s="754"/>
      <c r="I90" s="754"/>
      <c r="J90" s="754"/>
      <c r="K90" s="754"/>
      <c r="L90" s="754"/>
      <c r="M90" s="792"/>
      <c r="N90" s="790"/>
      <c r="O90" s="1"/>
      <c r="P90" s="1"/>
      <c r="Q90" s="1"/>
      <c r="R90" s="1"/>
      <c r="S90" s="1"/>
      <c r="T90" s="1"/>
    </row>
    <row r="91" ht="14.25" customHeight="1">
      <c r="A91" s="1"/>
      <c r="B91" s="790"/>
      <c r="C91" s="791"/>
      <c r="D91" s="754"/>
      <c r="E91" s="792"/>
      <c r="F91" s="794"/>
      <c r="G91" s="791"/>
      <c r="H91" s="754"/>
      <c r="I91" s="754"/>
      <c r="J91" s="754"/>
      <c r="K91" s="754"/>
      <c r="L91" s="754"/>
      <c r="M91" s="792"/>
      <c r="N91" s="790"/>
      <c r="O91" s="1"/>
      <c r="P91" s="1"/>
      <c r="Q91" s="1"/>
      <c r="R91" s="1"/>
      <c r="S91" s="1"/>
      <c r="T91" s="1"/>
    </row>
    <row r="92" ht="14.25" customHeight="1">
      <c r="A92" s="1"/>
      <c r="B92" s="790"/>
      <c r="C92" s="791"/>
      <c r="D92" s="754"/>
      <c r="E92" s="792"/>
      <c r="F92" s="794"/>
      <c r="G92" s="791"/>
      <c r="H92" s="754"/>
      <c r="I92" s="754"/>
      <c r="J92" s="754"/>
      <c r="K92" s="754"/>
      <c r="L92" s="754"/>
      <c r="M92" s="792"/>
      <c r="N92" s="790"/>
      <c r="O92" s="1"/>
      <c r="P92" s="1"/>
      <c r="Q92" s="1"/>
      <c r="R92" s="1"/>
      <c r="S92" s="1"/>
      <c r="T92" s="1"/>
    </row>
    <row r="93" ht="14.25" customHeight="1">
      <c r="A93" s="1"/>
      <c r="B93" s="790"/>
      <c r="C93" s="791"/>
      <c r="D93" s="754"/>
      <c r="E93" s="792"/>
      <c r="F93" s="794"/>
      <c r="G93" s="791"/>
      <c r="H93" s="754"/>
      <c r="I93" s="754"/>
      <c r="J93" s="754"/>
      <c r="K93" s="754"/>
      <c r="L93" s="754"/>
      <c r="M93" s="792"/>
      <c r="N93" s="790"/>
      <c r="O93" s="1"/>
      <c r="P93" s="1"/>
      <c r="Q93" s="1"/>
      <c r="R93" s="1"/>
      <c r="S93" s="1"/>
      <c r="T93" s="1"/>
    </row>
    <row r="94" ht="14.25" customHeight="1">
      <c r="A94" s="1"/>
      <c r="B94" s="790"/>
      <c r="C94" s="791"/>
      <c r="D94" s="754"/>
      <c r="E94" s="792"/>
      <c r="F94" s="794"/>
      <c r="G94" s="791"/>
      <c r="H94" s="754"/>
      <c r="I94" s="754"/>
      <c r="J94" s="754"/>
      <c r="K94" s="754"/>
      <c r="L94" s="754"/>
      <c r="M94" s="792"/>
      <c r="N94" s="790"/>
      <c r="O94" s="1"/>
      <c r="P94" s="1"/>
      <c r="Q94" s="1"/>
      <c r="R94" s="1"/>
      <c r="S94" s="1"/>
      <c r="T94" s="1"/>
    </row>
    <row r="95" ht="14.25" customHeight="1">
      <c r="A95" s="1"/>
      <c r="B95" s="790"/>
      <c r="C95" s="791"/>
      <c r="D95" s="754"/>
      <c r="E95" s="792"/>
      <c r="F95" s="794"/>
      <c r="G95" s="791"/>
      <c r="H95" s="754"/>
      <c r="I95" s="754"/>
      <c r="J95" s="754"/>
      <c r="K95" s="754"/>
      <c r="L95" s="754"/>
      <c r="M95" s="792"/>
      <c r="N95" s="790"/>
      <c r="O95" s="1"/>
      <c r="P95" s="1"/>
      <c r="Q95" s="1"/>
      <c r="R95" s="1"/>
      <c r="S95" s="1"/>
      <c r="T95" s="1"/>
    </row>
    <row r="96" ht="14.25" customHeight="1">
      <c r="A96" s="1"/>
      <c r="B96" s="790"/>
      <c r="C96" s="791"/>
      <c r="D96" s="754"/>
      <c r="E96" s="792"/>
      <c r="F96" s="794"/>
      <c r="G96" s="791"/>
      <c r="H96" s="754"/>
      <c r="I96" s="754"/>
      <c r="J96" s="754"/>
      <c r="K96" s="754"/>
      <c r="L96" s="754"/>
      <c r="M96" s="792"/>
      <c r="N96" s="790"/>
      <c r="O96" s="1"/>
      <c r="P96" s="1"/>
      <c r="Q96" s="1"/>
      <c r="R96" s="1"/>
      <c r="S96" s="1"/>
      <c r="T96" s="1"/>
    </row>
    <row r="97" ht="14.25" customHeight="1">
      <c r="A97" s="1"/>
      <c r="B97" s="790"/>
      <c r="C97" s="791"/>
      <c r="D97" s="754"/>
      <c r="E97" s="792"/>
      <c r="F97" s="794"/>
      <c r="G97" s="791"/>
      <c r="H97" s="754"/>
      <c r="I97" s="754"/>
      <c r="J97" s="754"/>
      <c r="K97" s="754"/>
      <c r="L97" s="754"/>
      <c r="M97" s="792"/>
      <c r="N97" s="790"/>
      <c r="O97" s="1"/>
      <c r="P97" s="1"/>
      <c r="Q97" s="1"/>
      <c r="R97" s="1"/>
      <c r="S97" s="1"/>
      <c r="T97" s="1"/>
    </row>
    <row r="98" ht="14.25" customHeight="1">
      <c r="A98" s="1"/>
      <c r="B98" s="790"/>
      <c r="C98" s="791"/>
      <c r="D98" s="754"/>
      <c r="E98" s="792"/>
      <c r="F98" s="794"/>
      <c r="G98" s="791"/>
      <c r="H98" s="754"/>
      <c r="I98" s="754"/>
      <c r="J98" s="754"/>
      <c r="K98" s="754"/>
      <c r="L98" s="754"/>
      <c r="M98" s="792"/>
      <c r="N98" s="790"/>
      <c r="O98" s="1"/>
      <c r="P98" s="1"/>
      <c r="Q98" s="1"/>
      <c r="R98" s="1"/>
      <c r="S98" s="1"/>
      <c r="T98" s="1"/>
    </row>
    <row r="99" ht="14.25" customHeight="1">
      <c r="A99" s="1"/>
      <c r="B99" s="790"/>
      <c r="C99" s="791"/>
      <c r="D99" s="754"/>
      <c r="E99" s="792"/>
      <c r="F99" s="794"/>
      <c r="G99" s="791"/>
      <c r="H99" s="754"/>
      <c r="I99" s="754"/>
      <c r="J99" s="754"/>
      <c r="K99" s="754"/>
      <c r="L99" s="754"/>
      <c r="M99" s="792"/>
      <c r="N99" s="790"/>
      <c r="O99" s="1"/>
      <c r="P99" s="1"/>
      <c r="Q99" s="1"/>
      <c r="R99" s="1"/>
      <c r="S99" s="1"/>
      <c r="T99" s="1"/>
    </row>
    <row r="100" ht="14.25" customHeight="1">
      <c r="A100" s="1"/>
      <c r="B100" s="790"/>
      <c r="C100" s="791"/>
      <c r="D100" s="754"/>
      <c r="E100" s="792"/>
      <c r="F100" s="794"/>
      <c r="G100" s="791"/>
      <c r="H100" s="754"/>
      <c r="I100" s="754"/>
      <c r="J100" s="754"/>
      <c r="K100" s="754"/>
      <c r="L100" s="754"/>
      <c r="M100" s="792"/>
      <c r="N100" s="790"/>
      <c r="O100" s="1"/>
      <c r="P100" s="1"/>
      <c r="Q100" s="1"/>
      <c r="R100" s="1"/>
      <c r="S100" s="1"/>
      <c r="T100" s="1"/>
    </row>
    <row r="101" ht="14.25" customHeight="1">
      <c r="A101" s="1"/>
      <c r="B101" s="790"/>
      <c r="C101" s="791"/>
      <c r="D101" s="754"/>
      <c r="E101" s="792"/>
      <c r="F101" s="794"/>
      <c r="G101" s="791"/>
      <c r="H101" s="754"/>
      <c r="I101" s="754"/>
      <c r="J101" s="754"/>
      <c r="K101" s="754"/>
      <c r="L101" s="754"/>
      <c r="M101" s="792"/>
      <c r="N101" s="790"/>
      <c r="O101" s="1"/>
      <c r="P101" s="1"/>
      <c r="Q101" s="1"/>
      <c r="R101" s="1"/>
      <c r="S101" s="1"/>
      <c r="T101" s="1"/>
    </row>
    <row r="102" ht="14.25" customHeight="1">
      <c r="A102" s="1"/>
      <c r="B102" s="790"/>
      <c r="C102" s="791"/>
      <c r="D102" s="754"/>
      <c r="E102" s="792"/>
      <c r="F102" s="794"/>
      <c r="G102" s="791"/>
      <c r="H102" s="754"/>
      <c r="I102" s="754"/>
      <c r="J102" s="754"/>
      <c r="K102" s="754"/>
      <c r="L102" s="754"/>
      <c r="M102" s="792"/>
      <c r="N102" s="790"/>
      <c r="O102" s="1"/>
      <c r="P102" s="1"/>
      <c r="Q102" s="1"/>
      <c r="R102" s="1"/>
      <c r="S102" s="1"/>
      <c r="T102" s="1"/>
    </row>
    <row r="103" ht="14.25" customHeight="1">
      <c r="A103" s="1"/>
      <c r="B103" s="790"/>
      <c r="C103" s="791"/>
      <c r="D103" s="754"/>
      <c r="E103" s="792"/>
      <c r="F103" s="794"/>
      <c r="G103" s="791"/>
      <c r="H103" s="754"/>
      <c r="I103" s="754"/>
      <c r="J103" s="754"/>
      <c r="K103" s="754"/>
      <c r="L103" s="754"/>
      <c r="M103" s="792"/>
      <c r="N103" s="790"/>
      <c r="O103" s="1"/>
      <c r="P103" s="1"/>
      <c r="Q103" s="1"/>
      <c r="R103" s="1"/>
      <c r="S103" s="1"/>
      <c r="T103" s="1"/>
    </row>
    <row r="104" ht="14.25" customHeight="1">
      <c r="A104" s="1"/>
      <c r="B104" s="790"/>
      <c r="C104" s="791"/>
      <c r="D104" s="754"/>
      <c r="E104" s="792"/>
      <c r="F104" s="794"/>
      <c r="G104" s="791"/>
      <c r="H104" s="754"/>
      <c r="I104" s="754"/>
      <c r="J104" s="754"/>
      <c r="K104" s="754"/>
      <c r="L104" s="754"/>
      <c r="M104" s="792"/>
      <c r="N104" s="790"/>
      <c r="O104" s="1"/>
      <c r="P104" s="1"/>
      <c r="Q104" s="1"/>
      <c r="R104" s="1"/>
      <c r="S104" s="1"/>
      <c r="T104" s="1"/>
    </row>
    <row r="105" ht="14.25" customHeight="1">
      <c r="A105" s="1"/>
      <c r="B105" s="790"/>
      <c r="C105" s="791"/>
      <c r="D105" s="754"/>
      <c r="E105" s="792"/>
      <c r="F105" s="794"/>
      <c r="G105" s="791"/>
      <c r="H105" s="754"/>
      <c r="I105" s="754"/>
      <c r="J105" s="754"/>
      <c r="K105" s="754"/>
      <c r="L105" s="754"/>
      <c r="M105" s="792"/>
      <c r="N105" s="790"/>
      <c r="O105" s="1"/>
      <c r="P105" s="1"/>
      <c r="Q105" s="1"/>
      <c r="R105" s="1"/>
      <c r="S105" s="1"/>
      <c r="T105" s="1"/>
    </row>
    <row r="106" ht="14.25" customHeight="1">
      <c r="A106" s="1"/>
      <c r="B106" s="795"/>
      <c r="C106" s="796"/>
      <c r="D106" s="140"/>
      <c r="E106" s="141"/>
      <c r="F106" s="797"/>
      <c r="G106" s="796"/>
      <c r="H106" s="140"/>
      <c r="I106" s="140"/>
      <c r="J106" s="140"/>
      <c r="K106" s="140"/>
      <c r="L106" s="140"/>
      <c r="M106" s="141"/>
      <c r="N106" s="795"/>
      <c r="O106" s="1"/>
      <c r="P106" s="1"/>
      <c r="Q106" s="1"/>
      <c r="R106" s="1"/>
      <c r="S106" s="1"/>
      <c r="T106" s="1"/>
    </row>
    <row r="107" ht="14.25" customHeight="1">
      <c r="A107" s="1"/>
      <c r="B107" s="1"/>
      <c r="C107" s="1"/>
      <c r="D107" s="1"/>
      <c r="E107" s="1"/>
      <c r="F107" s="1"/>
      <c r="G107" s="1"/>
      <c r="H107" s="1"/>
      <c r="I107" s="1"/>
      <c r="J107" s="1"/>
      <c r="K107" s="1"/>
      <c r="L107" s="1"/>
      <c r="M107" s="1"/>
      <c r="N107" s="1"/>
      <c r="O107" s="1"/>
      <c r="P107" s="1"/>
      <c r="Q107" s="1"/>
      <c r="R107" s="1"/>
      <c r="S107" s="1"/>
      <c r="T107" s="1"/>
    </row>
    <row r="108" ht="14.25" customHeight="1">
      <c r="A108" s="1"/>
      <c r="B108" s="1"/>
      <c r="C108" s="1"/>
      <c r="D108" s="1"/>
      <c r="E108" s="1"/>
      <c r="F108" s="1"/>
      <c r="G108" s="1"/>
      <c r="H108" s="1"/>
      <c r="I108" s="1"/>
      <c r="J108" s="1"/>
      <c r="K108" s="1"/>
      <c r="L108" s="1"/>
      <c r="M108" s="1"/>
      <c r="N108" s="1"/>
      <c r="O108" s="1"/>
      <c r="P108" s="1"/>
      <c r="Q108" s="1"/>
      <c r="R108" s="1"/>
      <c r="S108" s="1"/>
      <c r="T108" s="1"/>
    </row>
    <row r="109" ht="14.25" customHeight="1">
      <c r="A109" s="1"/>
      <c r="B109" s="1"/>
      <c r="C109" s="1"/>
      <c r="D109" s="1"/>
      <c r="E109" s="1"/>
      <c r="F109" s="1"/>
      <c r="G109" s="1"/>
      <c r="H109" s="1"/>
      <c r="I109" s="1"/>
      <c r="J109" s="1"/>
      <c r="K109" s="1"/>
      <c r="L109" s="1"/>
      <c r="M109" s="1"/>
      <c r="N109" s="1"/>
      <c r="O109" s="1"/>
      <c r="P109" s="1"/>
      <c r="Q109" s="1"/>
      <c r="R109" s="1"/>
      <c r="S109" s="1"/>
      <c r="T109" s="1"/>
    </row>
    <row r="110" ht="14.25" customHeight="1">
      <c r="A110" s="1"/>
      <c r="B110" s="1"/>
      <c r="C110" s="1"/>
      <c r="D110" s="1"/>
      <c r="E110" s="1"/>
      <c r="F110" s="1"/>
      <c r="G110" s="1"/>
      <c r="H110" s="1"/>
      <c r="I110" s="1"/>
      <c r="J110" s="1"/>
      <c r="K110" s="1"/>
      <c r="L110" s="1"/>
      <c r="M110" s="1"/>
      <c r="N110" s="1"/>
      <c r="O110" s="1"/>
      <c r="P110" s="1"/>
      <c r="Q110" s="1"/>
      <c r="R110" s="1"/>
      <c r="S110" s="1"/>
      <c r="T110" s="1"/>
    </row>
    <row r="111" ht="14.25" customHeight="1">
      <c r="A111" s="1"/>
      <c r="B111" s="1"/>
      <c r="C111" s="1"/>
      <c r="D111" s="1"/>
      <c r="E111" s="1"/>
      <c r="F111" s="1"/>
      <c r="G111" s="1"/>
      <c r="H111" s="1"/>
      <c r="I111" s="1"/>
      <c r="J111" s="1"/>
      <c r="K111" s="1"/>
      <c r="L111" s="1"/>
      <c r="M111" s="1"/>
      <c r="N111" s="1"/>
      <c r="O111" s="1"/>
      <c r="P111" s="1"/>
      <c r="Q111" s="1"/>
      <c r="R111" s="1"/>
      <c r="S111" s="1"/>
      <c r="T111" s="1"/>
    </row>
    <row r="112" ht="14.25" customHeight="1">
      <c r="A112" s="1"/>
      <c r="B112" s="1"/>
      <c r="C112" s="1"/>
      <c r="D112" s="1"/>
      <c r="E112" s="1"/>
      <c r="F112" s="1"/>
      <c r="G112" s="1"/>
      <c r="H112" s="1"/>
      <c r="I112" s="1"/>
      <c r="J112" s="1"/>
      <c r="K112" s="1"/>
      <c r="L112" s="1"/>
      <c r="M112" s="1"/>
      <c r="N112" s="1"/>
      <c r="O112" s="1"/>
      <c r="P112" s="1"/>
      <c r="Q112" s="1"/>
      <c r="R112" s="1"/>
      <c r="S112" s="1"/>
      <c r="T112" s="1"/>
    </row>
    <row r="113" ht="14.25" customHeight="1">
      <c r="A113" s="1"/>
      <c r="B113" s="1"/>
      <c r="C113" s="1"/>
      <c r="D113" s="1"/>
      <c r="E113" s="1"/>
      <c r="F113" s="1"/>
      <c r="G113" s="1"/>
      <c r="H113" s="1"/>
      <c r="I113" s="1"/>
      <c r="J113" s="1"/>
      <c r="K113" s="1"/>
      <c r="L113" s="1"/>
      <c r="M113" s="1"/>
      <c r="N113" s="1"/>
      <c r="O113" s="1"/>
      <c r="P113" s="1"/>
      <c r="Q113" s="1"/>
      <c r="R113" s="1"/>
      <c r="S113" s="1"/>
      <c r="T113" s="1"/>
    </row>
    <row r="114" ht="14.25" customHeight="1">
      <c r="A114" s="1"/>
      <c r="B114" s="1"/>
      <c r="C114" s="1"/>
      <c r="D114" s="1"/>
      <c r="E114" s="1"/>
      <c r="F114" s="1"/>
      <c r="G114" s="1"/>
      <c r="H114" s="1"/>
      <c r="I114" s="1"/>
      <c r="J114" s="1"/>
      <c r="K114" s="1"/>
      <c r="L114" s="1"/>
      <c r="M114" s="1"/>
      <c r="N114" s="1"/>
      <c r="O114" s="1"/>
      <c r="P114" s="1"/>
      <c r="Q114" s="1"/>
      <c r="R114" s="1"/>
      <c r="S114" s="1"/>
      <c r="T114" s="1"/>
    </row>
    <row r="115" ht="14.25" customHeight="1">
      <c r="A115" s="1"/>
      <c r="B115" s="1"/>
      <c r="C115" s="1"/>
      <c r="D115" s="1"/>
      <c r="E115" s="1"/>
      <c r="F115" s="1"/>
      <c r="G115" s="1"/>
      <c r="H115" s="1"/>
      <c r="I115" s="1"/>
      <c r="J115" s="1"/>
      <c r="K115" s="1"/>
      <c r="L115" s="1"/>
      <c r="M115" s="1"/>
      <c r="N115" s="1"/>
      <c r="O115" s="1"/>
      <c r="P115" s="1"/>
      <c r="Q115" s="1"/>
      <c r="R115" s="1"/>
      <c r="S115" s="1"/>
      <c r="T115" s="1"/>
    </row>
    <row r="116" ht="14.25" customHeight="1">
      <c r="A116" s="1"/>
      <c r="B116" s="1"/>
      <c r="C116" s="1"/>
      <c r="D116" s="1"/>
      <c r="E116" s="1"/>
      <c r="F116" s="1"/>
      <c r="G116" s="1"/>
      <c r="H116" s="1"/>
      <c r="I116" s="1"/>
      <c r="J116" s="1"/>
      <c r="K116" s="1"/>
      <c r="L116" s="1"/>
      <c r="M116" s="1"/>
      <c r="N116" s="1"/>
      <c r="O116" s="1"/>
      <c r="P116" s="1"/>
      <c r="Q116" s="1"/>
      <c r="R116" s="1"/>
      <c r="S116" s="1"/>
      <c r="T116" s="1"/>
    </row>
    <row r="117" ht="14.25" customHeight="1">
      <c r="A117" s="1"/>
      <c r="B117" s="1"/>
      <c r="C117" s="1"/>
      <c r="D117" s="1"/>
      <c r="E117" s="1"/>
      <c r="F117" s="1"/>
      <c r="G117" s="1"/>
      <c r="H117" s="1"/>
      <c r="I117" s="1"/>
      <c r="J117" s="1"/>
      <c r="K117" s="1"/>
      <c r="L117" s="1"/>
      <c r="M117" s="1"/>
      <c r="N117" s="1"/>
      <c r="O117" s="1"/>
      <c r="P117" s="1"/>
      <c r="Q117" s="1"/>
      <c r="R117" s="1"/>
      <c r="S117" s="1"/>
      <c r="T117" s="1"/>
    </row>
    <row r="118" ht="14.25" customHeight="1">
      <c r="A118" s="1"/>
      <c r="B118" s="1"/>
      <c r="C118" s="1"/>
      <c r="D118" s="1"/>
      <c r="E118" s="1"/>
      <c r="F118" s="1"/>
      <c r="G118" s="1"/>
      <c r="H118" s="1"/>
      <c r="I118" s="1"/>
      <c r="J118" s="1"/>
      <c r="K118" s="1"/>
      <c r="L118" s="1"/>
      <c r="M118" s="1"/>
      <c r="N118" s="1"/>
      <c r="O118" s="1"/>
      <c r="P118" s="1"/>
      <c r="Q118" s="1"/>
      <c r="R118" s="1"/>
      <c r="S118" s="1"/>
      <c r="T118" s="1"/>
    </row>
    <row r="119" ht="14.25" customHeight="1">
      <c r="A119" s="1"/>
      <c r="B119" s="1"/>
      <c r="C119" s="1"/>
      <c r="D119" s="1"/>
      <c r="E119" s="1"/>
      <c r="F119" s="1"/>
      <c r="G119" s="1"/>
      <c r="H119" s="1"/>
      <c r="I119" s="1"/>
      <c r="J119" s="1"/>
      <c r="K119" s="1"/>
      <c r="L119" s="1"/>
      <c r="M119" s="1"/>
      <c r="N119" s="1"/>
      <c r="O119" s="1"/>
      <c r="P119" s="1"/>
      <c r="Q119" s="1"/>
      <c r="R119" s="1"/>
      <c r="S119" s="1"/>
      <c r="T119" s="1"/>
    </row>
    <row r="120" ht="14.25" customHeight="1">
      <c r="A120" s="1"/>
      <c r="B120" s="1"/>
      <c r="C120" s="1"/>
      <c r="D120" s="1"/>
      <c r="E120" s="1"/>
      <c r="F120" s="1"/>
      <c r="G120" s="1"/>
      <c r="H120" s="1"/>
      <c r="I120" s="1"/>
      <c r="J120" s="1"/>
      <c r="K120" s="1"/>
      <c r="L120" s="1"/>
      <c r="M120" s="1"/>
      <c r="N120" s="1"/>
      <c r="O120" s="1"/>
      <c r="P120" s="1"/>
      <c r="Q120" s="1"/>
      <c r="R120" s="1"/>
      <c r="S120" s="1"/>
      <c r="T120" s="1"/>
    </row>
    <row r="121" ht="14.25" customHeight="1">
      <c r="A121" s="1"/>
      <c r="B121" s="1"/>
      <c r="C121" s="1"/>
      <c r="D121" s="1"/>
      <c r="E121" s="1"/>
      <c r="F121" s="1"/>
      <c r="G121" s="1"/>
      <c r="H121" s="1"/>
      <c r="I121" s="1"/>
      <c r="J121" s="1"/>
      <c r="K121" s="1"/>
      <c r="L121" s="1"/>
      <c r="M121" s="1"/>
      <c r="N121" s="1"/>
      <c r="O121" s="1"/>
      <c r="P121" s="1"/>
      <c r="Q121" s="1"/>
      <c r="R121" s="1"/>
      <c r="S121" s="1"/>
      <c r="T121" s="1"/>
    </row>
    <row r="122" ht="14.25" customHeight="1">
      <c r="A122" s="1"/>
      <c r="B122" s="1"/>
      <c r="C122" s="1"/>
      <c r="D122" s="1"/>
      <c r="E122" s="1"/>
      <c r="F122" s="1"/>
      <c r="G122" s="1"/>
      <c r="H122" s="1"/>
      <c r="I122" s="1"/>
      <c r="J122" s="1"/>
      <c r="K122" s="1"/>
      <c r="L122" s="1"/>
      <c r="M122" s="1"/>
      <c r="N122" s="1"/>
      <c r="O122" s="1"/>
      <c r="P122" s="1"/>
      <c r="Q122" s="1"/>
      <c r="R122" s="1"/>
      <c r="S122" s="1"/>
      <c r="T122" s="1"/>
    </row>
    <row r="123" ht="14.25" customHeight="1">
      <c r="A123" s="1"/>
      <c r="B123" s="1"/>
      <c r="C123" s="1"/>
      <c r="D123" s="1"/>
      <c r="E123" s="1"/>
      <c r="F123" s="1"/>
      <c r="G123" s="1"/>
      <c r="H123" s="1"/>
      <c r="I123" s="1"/>
      <c r="J123" s="1"/>
      <c r="K123" s="1"/>
      <c r="L123" s="1"/>
      <c r="M123" s="1"/>
      <c r="N123" s="1"/>
      <c r="O123" s="1"/>
      <c r="P123" s="1"/>
      <c r="Q123" s="1"/>
      <c r="R123" s="1"/>
      <c r="S123" s="1"/>
      <c r="T123" s="1"/>
    </row>
    <row r="124" ht="14.25" customHeight="1">
      <c r="A124" s="1"/>
      <c r="B124" s="1"/>
      <c r="C124" s="1"/>
      <c r="D124" s="1"/>
      <c r="E124" s="1"/>
      <c r="F124" s="1"/>
      <c r="G124" s="1"/>
      <c r="H124" s="1"/>
      <c r="I124" s="1"/>
      <c r="J124" s="1"/>
      <c r="K124" s="1"/>
      <c r="L124" s="1"/>
      <c r="M124" s="1"/>
      <c r="N124" s="1"/>
      <c r="O124" s="1"/>
      <c r="P124" s="1"/>
      <c r="Q124" s="1"/>
      <c r="R124" s="1"/>
      <c r="S124" s="1"/>
      <c r="T124" s="1"/>
    </row>
    <row r="125" ht="14.25" customHeight="1">
      <c r="A125" s="1"/>
      <c r="B125" s="1"/>
      <c r="C125" s="1"/>
      <c r="D125" s="1"/>
      <c r="E125" s="1"/>
      <c r="F125" s="1"/>
      <c r="G125" s="1"/>
      <c r="H125" s="1"/>
      <c r="I125" s="1"/>
      <c r="J125" s="1"/>
      <c r="K125" s="1"/>
      <c r="L125" s="1"/>
      <c r="M125" s="1"/>
      <c r="N125" s="1"/>
      <c r="O125" s="1"/>
      <c r="P125" s="1"/>
      <c r="Q125" s="1"/>
      <c r="R125" s="1"/>
      <c r="S125" s="1"/>
      <c r="T125" s="1"/>
    </row>
    <row r="126" ht="14.25" customHeight="1">
      <c r="A126" s="1"/>
      <c r="B126" s="1"/>
      <c r="C126" s="1"/>
      <c r="D126" s="1"/>
      <c r="E126" s="1"/>
      <c r="F126" s="1"/>
      <c r="G126" s="1"/>
      <c r="H126" s="1"/>
      <c r="I126" s="1"/>
      <c r="J126" s="1"/>
      <c r="K126" s="1"/>
      <c r="L126" s="1"/>
      <c r="M126" s="1"/>
      <c r="N126" s="1"/>
      <c r="O126" s="1"/>
      <c r="P126" s="1"/>
      <c r="Q126" s="1"/>
      <c r="R126" s="1"/>
      <c r="S126" s="1"/>
      <c r="T126" s="1"/>
    </row>
    <row r="127" ht="14.25" customHeight="1">
      <c r="A127" s="1"/>
      <c r="B127" s="1"/>
      <c r="C127" s="1"/>
      <c r="D127" s="1"/>
      <c r="E127" s="1"/>
      <c r="F127" s="1"/>
      <c r="G127" s="1"/>
      <c r="H127" s="1"/>
      <c r="I127" s="1"/>
      <c r="J127" s="1"/>
      <c r="K127" s="1"/>
      <c r="L127" s="1"/>
      <c r="M127" s="1"/>
      <c r="N127" s="1"/>
      <c r="O127" s="1"/>
      <c r="P127" s="1"/>
      <c r="Q127" s="1"/>
      <c r="R127" s="1"/>
      <c r="S127" s="1"/>
      <c r="T127" s="1"/>
    </row>
    <row r="128" ht="14.25" customHeight="1">
      <c r="A128" s="1"/>
      <c r="B128" s="1"/>
      <c r="C128" s="1"/>
      <c r="D128" s="1"/>
      <c r="E128" s="1"/>
      <c r="F128" s="1"/>
      <c r="G128" s="1"/>
      <c r="H128" s="1"/>
      <c r="I128" s="1"/>
      <c r="J128" s="1"/>
      <c r="K128" s="1"/>
      <c r="L128" s="1"/>
      <c r="M128" s="1"/>
      <c r="N128" s="1"/>
      <c r="O128" s="1"/>
      <c r="P128" s="1"/>
      <c r="Q128" s="1"/>
      <c r="R128" s="1"/>
      <c r="S128" s="1"/>
      <c r="T128" s="1"/>
    </row>
    <row r="129" ht="14.25" customHeight="1">
      <c r="A129" s="1"/>
      <c r="B129" s="1"/>
      <c r="C129" s="1"/>
      <c r="D129" s="1"/>
      <c r="E129" s="1"/>
      <c r="F129" s="1"/>
      <c r="G129" s="1"/>
      <c r="H129" s="1"/>
      <c r="I129" s="1"/>
      <c r="J129" s="1"/>
      <c r="K129" s="1"/>
      <c r="L129" s="1"/>
      <c r="M129" s="1"/>
      <c r="N129" s="1"/>
      <c r="O129" s="1"/>
      <c r="P129" s="1"/>
      <c r="Q129" s="1"/>
      <c r="R129" s="1"/>
      <c r="S129" s="1"/>
      <c r="T129" s="1"/>
    </row>
    <row r="130" ht="14.25" customHeight="1">
      <c r="A130" s="1"/>
      <c r="B130" s="1"/>
      <c r="C130" s="1"/>
      <c r="D130" s="1"/>
      <c r="E130" s="1"/>
      <c r="F130" s="1"/>
      <c r="G130" s="1"/>
      <c r="H130" s="1"/>
      <c r="I130" s="1"/>
      <c r="J130" s="1"/>
      <c r="K130" s="1"/>
      <c r="L130" s="1"/>
      <c r="M130" s="1"/>
      <c r="N130" s="1"/>
      <c r="O130" s="1"/>
      <c r="P130" s="1"/>
      <c r="Q130" s="1"/>
      <c r="R130" s="1"/>
      <c r="S130" s="1"/>
      <c r="T130" s="1"/>
    </row>
    <row r="131" ht="14.25" hidden="1" customHeight="1">
      <c r="A131" s="1"/>
      <c r="B131" s="1"/>
      <c r="C131" s="1"/>
      <c r="D131" s="1"/>
      <c r="E131" s="1"/>
      <c r="F131" s="1"/>
      <c r="G131" s="1"/>
      <c r="H131" s="1"/>
      <c r="I131" s="1"/>
      <c r="J131" s="1"/>
      <c r="K131" s="1"/>
      <c r="L131" s="1"/>
      <c r="M131" s="1"/>
      <c r="N131" s="1"/>
      <c r="O131" s="1"/>
      <c r="P131" s="1"/>
      <c r="Q131" s="1"/>
      <c r="R131" s="1"/>
      <c r="S131" s="1"/>
      <c r="T131" s="1"/>
    </row>
    <row r="132" ht="14.25" hidden="1" customHeight="1">
      <c r="M132" s="1"/>
      <c r="N132" s="1"/>
      <c r="O132" s="1"/>
      <c r="P132" s="1"/>
      <c r="Q132" s="1"/>
      <c r="R132" s="1"/>
      <c r="S132" s="1"/>
      <c r="T132" s="1"/>
    </row>
    <row r="133" ht="14.25" hidden="1" customHeight="1">
      <c r="M133" s="1"/>
      <c r="N133" s="1"/>
      <c r="O133" s="1"/>
      <c r="P133" s="1"/>
      <c r="Q133" s="1"/>
      <c r="R133" s="1"/>
      <c r="S133" s="1"/>
      <c r="T133" s="1"/>
    </row>
    <row r="134" ht="14.25" hidden="1" customHeight="1">
      <c r="M134" s="1"/>
      <c r="N134" s="1"/>
      <c r="O134" s="1"/>
      <c r="P134" s="1"/>
      <c r="Q134" s="1"/>
      <c r="R134" s="1"/>
      <c r="S134" s="1"/>
      <c r="T134" s="1"/>
    </row>
    <row r="135" ht="14.25" hidden="1" customHeight="1">
      <c r="M135" s="1"/>
      <c r="N135" s="1"/>
      <c r="O135" s="1"/>
      <c r="P135" s="1"/>
      <c r="Q135" s="1"/>
      <c r="R135" s="1"/>
      <c r="S135" s="1"/>
      <c r="T135" s="1"/>
    </row>
    <row r="136" ht="14.25" hidden="1" customHeight="1">
      <c r="M136" s="1"/>
      <c r="N136" s="1"/>
      <c r="O136" s="1"/>
      <c r="P136" s="1"/>
      <c r="Q136" s="1"/>
      <c r="R136" s="1"/>
      <c r="S136" s="1"/>
      <c r="T136" s="1"/>
    </row>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C$4:$M$85"/>
  <mergeCells count="11">
    <mergeCell ref="E4:E5"/>
    <mergeCell ref="F4:F5"/>
    <mergeCell ref="L4:L5"/>
    <mergeCell ref="M4:M5"/>
    <mergeCell ref="B1:N2"/>
    <mergeCell ref="B3:B5"/>
    <mergeCell ref="C3:F3"/>
    <mergeCell ref="G3:M3"/>
    <mergeCell ref="N3:N5"/>
    <mergeCell ref="C4:C5"/>
    <mergeCell ref="D4:D5"/>
  </mergeCells>
  <conditionalFormatting sqref="E91:E106">
    <cfRule type="cellIs" dxfId="1" priority="1" operator="equal">
      <formula>"Enhancement not possible"</formula>
    </cfRule>
  </conditionalFormatting>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5E5C"/>
    <pageSetUpPr/>
  </sheetPr>
  <sheetViews>
    <sheetView workbookViewId="0"/>
  </sheetViews>
  <sheetFormatPr customHeight="1" defaultColWidth="14.43" defaultRowHeight="15.0"/>
  <cols>
    <col customWidth="1" min="1" max="1" width="25.29"/>
    <col customWidth="1" min="2" max="2" width="8.71"/>
    <col customWidth="1" min="3" max="3" width="42.0"/>
    <col customWidth="1" min="4" max="4" width="18.71"/>
    <col customWidth="1" min="5" max="5" width="32.43"/>
    <col customWidth="1" min="6" max="6" width="19.57"/>
    <col customWidth="1" min="7" max="7" width="32.0"/>
    <col customWidth="1" min="8" max="8" width="8.71"/>
    <col customWidth="1" min="9" max="9" width="82.43"/>
    <col customWidth="1" min="10" max="10" width="13.71"/>
    <col customWidth="1" min="11" max="11" width="35.29"/>
    <col customWidth="1" min="12" max="12" width="8.71"/>
    <col customWidth="1" min="13" max="13" width="48.57"/>
    <col customWidth="1" min="14" max="14" width="8.71"/>
    <col customWidth="1" min="15" max="15" width="33.57"/>
    <col customWidth="1" min="16" max="16" width="8.71"/>
    <col customWidth="1" min="17" max="17" width="44.0"/>
    <col customWidth="1" min="18" max="18" width="8.71"/>
    <col customWidth="1" min="19" max="19" width="35.71"/>
    <col customWidth="1" min="20" max="20" width="8.71"/>
    <col customWidth="1" min="21" max="21" width="61.57"/>
    <col customWidth="1" min="22" max="22" width="12.0"/>
    <col customWidth="1" min="23" max="23" width="81.71"/>
    <col customWidth="1" min="24" max="24" width="61.29"/>
    <col customWidth="1" min="25" max="25" width="47.71"/>
    <col customWidth="1" min="26" max="26" width="17.0"/>
    <col customWidth="1" min="27" max="27" width="48.29"/>
    <col customWidth="1" min="28" max="28" width="17.0"/>
    <col customWidth="1" min="29" max="29" width="48.29"/>
  </cols>
  <sheetData>
    <row r="1" ht="14.25" customHeight="1">
      <c r="A1" s="798" t="s">
        <v>450</v>
      </c>
      <c r="B1" s="1"/>
      <c r="C1" s="798" t="s">
        <v>231</v>
      </c>
      <c r="D1" s="1"/>
      <c r="E1" s="798" t="s">
        <v>235</v>
      </c>
      <c r="F1" s="1"/>
      <c r="G1" s="798" t="s">
        <v>451</v>
      </c>
      <c r="H1" s="1"/>
      <c r="I1" s="798" t="s">
        <v>452</v>
      </c>
      <c r="J1" s="1"/>
      <c r="K1" s="798" t="s">
        <v>453</v>
      </c>
      <c r="L1" s="1"/>
      <c r="M1" s="798" t="s">
        <v>238</v>
      </c>
      <c r="N1" s="1"/>
      <c r="O1" s="798" t="s">
        <v>454</v>
      </c>
      <c r="P1" s="1"/>
      <c r="Q1" s="798" t="s">
        <v>114</v>
      </c>
      <c r="R1" s="1"/>
      <c r="S1" s="798" t="s">
        <v>455</v>
      </c>
      <c r="T1" s="1"/>
      <c r="U1" s="798" t="s">
        <v>456</v>
      </c>
      <c r="V1" s="1"/>
      <c r="W1" s="798" t="s">
        <v>457</v>
      </c>
      <c r="X1" s="1"/>
      <c r="Y1" s="798" t="s">
        <v>279</v>
      </c>
      <c r="Z1" s="1"/>
      <c r="AA1" s="798" t="s">
        <v>458</v>
      </c>
      <c r="AB1" s="1"/>
      <c r="AC1" s="798" t="s">
        <v>459</v>
      </c>
    </row>
    <row r="2" ht="14.25" customHeight="1">
      <c r="A2" s="799" t="s">
        <v>231</v>
      </c>
      <c r="B2" s="1"/>
      <c r="C2" s="800" t="s">
        <v>325</v>
      </c>
      <c r="D2" s="1"/>
      <c r="E2" s="799" t="s">
        <v>337</v>
      </c>
      <c r="F2" s="1"/>
      <c r="G2" s="799" t="s">
        <v>342</v>
      </c>
      <c r="H2" s="1"/>
      <c r="I2" s="799" t="s">
        <v>391</v>
      </c>
      <c r="J2" s="1"/>
      <c r="K2" s="799" t="s">
        <v>381</v>
      </c>
      <c r="L2" s="1"/>
      <c r="M2" s="799" t="s">
        <v>350</v>
      </c>
      <c r="N2" s="1"/>
      <c r="O2" s="799" t="s">
        <v>354</v>
      </c>
      <c r="P2" s="1"/>
      <c r="Q2" s="799" t="s">
        <v>357</v>
      </c>
      <c r="R2" s="1"/>
      <c r="S2" s="799" t="s">
        <v>377</v>
      </c>
      <c r="T2" s="1"/>
      <c r="U2" s="799" t="s">
        <v>262</v>
      </c>
      <c r="V2" s="1"/>
      <c r="W2" s="799" t="s">
        <v>268</v>
      </c>
      <c r="X2" s="1"/>
      <c r="Y2" s="799" t="s">
        <v>287</v>
      </c>
      <c r="Z2" s="1"/>
      <c r="AA2" s="801" t="s">
        <v>382</v>
      </c>
      <c r="AB2" s="1"/>
      <c r="AC2" s="802" t="s">
        <v>122</v>
      </c>
    </row>
    <row r="3" ht="14.25" customHeight="1">
      <c r="A3" s="799" t="s">
        <v>235</v>
      </c>
      <c r="B3" s="1"/>
      <c r="C3" s="800" t="s">
        <v>327</v>
      </c>
      <c r="D3" s="1"/>
      <c r="E3" s="799" t="s">
        <v>338</v>
      </c>
      <c r="F3" s="1"/>
      <c r="G3" s="799" t="s">
        <v>119</v>
      </c>
      <c r="H3" s="1"/>
      <c r="I3" s="799" t="s">
        <v>392</v>
      </c>
      <c r="J3" s="1"/>
      <c r="K3" s="799" t="s">
        <v>383</v>
      </c>
      <c r="L3" s="1"/>
      <c r="M3" s="799" t="s">
        <v>352</v>
      </c>
      <c r="N3" s="1"/>
      <c r="O3" s="803" t="s">
        <v>355</v>
      </c>
      <c r="P3" s="1"/>
      <c r="Q3" s="799" t="s">
        <v>358</v>
      </c>
      <c r="R3" s="1"/>
      <c r="S3" s="799" t="s">
        <v>378</v>
      </c>
      <c r="T3" s="1"/>
      <c r="U3" s="799" t="s">
        <v>263</v>
      </c>
      <c r="V3" s="1"/>
      <c r="W3" s="799" t="s">
        <v>265</v>
      </c>
      <c r="X3" s="1"/>
      <c r="Y3" s="799" t="s">
        <v>289</v>
      </c>
      <c r="Z3" s="1"/>
      <c r="AA3" s="804"/>
      <c r="AB3" s="1"/>
      <c r="AC3" s="801"/>
    </row>
    <row r="4" ht="14.25" customHeight="1">
      <c r="A4" s="799" t="s">
        <v>118</v>
      </c>
      <c r="B4" s="1"/>
      <c r="C4" s="800" t="s">
        <v>328</v>
      </c>
      <c r="D4" s="1"/>
      <c r="E4" s="799" t="s">
        <v>339</v>
      </c>
      <c r="F4" s="1"/>
      <c r="G4" s="799" t="s">
        <v>343</v>
      </c>
      <c r="H4" s="1"/>
      <c r="I4" s="799" t="s">
        <v>393</v>
      </c>
      <c r="J4" s="1"/>
      <c r="K4" s="799" t="s">
        <v>384</v>
      </c>
      <c r="L4" s="1"/>
      <c r="M4" s="803" t="s">
        <v>353</v>
      </c>
      <c r="N4" s="1"/>
      <c r="O4" s="801" t="s">
        <v>356</v>
      </c>
      <c r="P4" s="1"/>
      <c r="Q4" s="799" t="s">
        <v>361</v>
      </c>
      <c r="R4" s="1"/>
      <c r="S4" s="799" t="s">
        <v>379</v>
      </c>
      <c r="T4" s="1"/>
      <c r="U4" s="799" t="s">
        <v>264</v>
      </c>
      <c r="V4" s="1"/>
      <c r="W4" s="799" t="s">
        <v>269</v>
      </c>
      <c r="X4" s="1"/>
      <c r="Y4" s="799" t="s">
        <v>288</v>
      </c>
      <c r="Z4" s="1"/>
      <c r="AA4" s="764"/>
      <c r="AB4" s="1"/>
      <c r="AC4" s="764"/>
    </row>
    <row r="5" ht="14.25" customHeight="1">
      <c r="A5" s="799" t="s">
        <v>236</v>
      </c>
      <c r="B5" s="1"/>
      <c r="C5" s="800" t="s">
        <v>329</v>
      </c>
      <c r="D5" s="1"/>
      <c r="E5" s="799" t="s">
        <v>340</v>
      </c>
      <c r="F5" s="1"/>
      <c r="G5" s="799" t="s">
        <v>344</v>
      </c>
      <c r="H5" s="1"/>
      <c r="I5" s="764"/>
      <c r="J5" s="1"/>
      <c r="K5" s="799" t="s">
        <v>385</v>
      </c>
      <c r="L5" s="1"/>
      <c r="M5" s="764"/>
      <c r="N5" s="1"/>
      <c r="O5" s="764"/>
      <c r="P5" s="1"/>
      <c r="Q5" s="799" t="s">
        <v>362</v>
      </c>
      <c r="R5" s="1"/>
      <c r="S5" s="799" t="s">
        <v>380</v>
      </c>
      <c r="T5" s="1"/>
      <c r="U5" s="799" t="s">
        <v>255</v>
      </c>
      <c r="V5" s="1"/>
      <c r="W5" s="799" t="s">
        <v>266</v>
      </c>
      <c r="X5" s="1"/>
      <c r="Y5" s="799"/>
      <c r="Z5" s="1"/>
      <c r="AA5" s="764"/>
      <c r="AB5" s="1"/>
      <c r="AC5" s="764"/>
    </row>
    <row r="6" ht="14.25" customHeight="1">
      <c r="A6" s="799" t="s">
        <v>237</v>
      </c>
      <c r="B6" s="1"/>
      <c r="C6" s="800" t="s">
        <v>330</v>
      </c>
      <c r="D6" s="1"/>
      <c r="E6" s="803" t="s">
        <v>341</v>
      </c>
      <c r="F6" s="1"/>
      <c r="G6" s="799" t="s">
        <v>345</v>
      </c>
      <c r="H6" s="1"/>
      <c r="I6" s="764"/>
      <c r="J6" s="1"/>
      <c r="K6" s="799" t="s">
        <v>386</v>
      </c>
      <c r="L6" s="1"/>
      <c r="M6" s="764"/>
      <c r="N6" s="1"/>
      <c r="O6" s="764"/>
      <c r="P6" s="1"/>
      <c r="Q6" s="799" t="s">
        <v>363</v>
      </c>
      <c r="R6" s="1"/>
      <c r="S6" s="764"/>
      <c r="T6" s="1"/>
      <c r="U6" s="799" t="s">
        <v>254</v>
      </c>
      <c r="V6" s="1"/>
      <c r="W6" s="764"/>
      <c r="X6" s="1"/>
      <c r="Y6" s="799"/>
      <c r="Z6" s="1"/>
      <c r="AA6" s="764"/>
      <c r="AB6" s="1"/>
      <c r="AC6" s="764"/>
    </row>
    <row r="7" ht="14.25" customHeight="1">
      <c r="A7" s="799" t="s">
        <v>238</v>
      </c>
      <c r="B7" s="1"/>
      <c r="C7" s="800" t="s">
        <v>332</v>
      </c>
      <c r="D7" s="1"/>
      <c r="E7" s="764"/>
      <c r="F7" s="1"/>
      <c r="G7" s="799" t="s">
        <v>346</v>
      </c>
      <c r="H7" s="1"/>
      <c r="I7" s="764"/>
      <c r="J7" s="1"/>
      <c r="K7" s="799" t="s">
        <v>387</v>
      </c>
      <c r="L7" s="1"/>
      <c r="M7" s="764"/>
      <c r="N7" s="1"/>
      <c r="O7" s="764"/>
      <c r="P7" s="1"/>
      <c r="Q7" s="799" t="s">
        <v>364</v>
      </c>
      <c r="R7" s="1"/>
      <c r="S7" s="764"/>
      <c r="T7" s="1"/>
      <c r="U7" s="799" t="s">
        <v>268</v>
      </c>
      <c r="V7" s="1"/>
      <c r="W7" s="764"/>
      <c r="X7" s="1"/>
      <c r="Y7" s="799"/>
      <c r="Z7" s="1"/>
      <c r="AA7" s="764"/>
      <c r="AB7" s="1"/>
      <c r="AC7" s="764"/>
    </row>
    <row r="8" ht="14.25" customHeight="1">
      <c r="A8" s="799" t="s">
        <v>239</v>
      </c>
      <c r="B8" s="1"/>
      <c r="C8" s="800" t="s">
        <v>333</v>
      </c>
      <c r="D8" s="1"/>
      <c r="E8" s="764"/>
      <c r="F8" s="1"/>
      <c r="G8" s="799" t="s">
        <v>347</v>
      </c>
      <c r="H8" s="1"/>
      <c r="I8" s="764"/>
      <c r="J8" s="1"/>
      <c r="K8" s="803" t="s">
        <v>388</v>
      </c>
      <c r="L8" s="1"/>
      <c r="M8" s="764"/>
      <c r="N8" s="1"/>
      <c r="O8" s="764"/>
      <c r="P8" s="1"/>
      <c r="Q8" s="799" t="s">
        <v>115</v>
      </c>
      <c r="R8" s="1"/>
      <c r="S8" s="764"/>
      <c r="T8" s="1"/>
      <c r="U8" s="799" t="s">
        <v>265</v>
      </c>
      <c r="V8" s="1"/>
      <c r="W8" s="764"/>
      <c r="X8" s="1"/>
      <c r="Y8" s="799"/>
      <c r="Z8" s="1"/>
      <c r="AA8" s="764"/>
      <c r="AB8" s="1"/>
      <c r="AC8" s="764"/>
    </row>
    <row r="9" ht="14.25" customHeight="1">
      <c r="A9" s="799" t="s">
        <v>114</v>
      </c>
      <c r="B9" s="1"/>
      <c r="C9" s="800" t="s">
        <v>334</v>
      </c>
      <c r="D9" s="1"/>
      <c r="E9" s="764"/>
      <c r="F9" s="1"/>
      <c r="G9" s="803" t="s">
        <v>348</v>
      </c>
      <c r="H9" s="1"/>
      <c r="I9" s="764"/>
      <c r="J9" s="1"/>
      <c r="K9" s="799" t="s">
        <v>389</v>
      </c>
      <c r="L9" s="1"/>
      <c r="M9" s="764"/>
      <c r="N9" s="1"/>
      <c r="O9" s="764"/>
      <c r="P9" s="1"/>
      <c r="Q9" s="799" t="s">
        <v>369</v>
      </c>
      <c r="R9" s="1"/>
      <c r="S9" s="764"/>
      <c r="T9" s="1"/>
      <c r="U9" s="799" t="s">
        <v>269</v>
      </c>
      <c r="V9" s="1"/>
      <c r="W9" s="764"/>
      <c r="X9" s="1"/>
      <c r="Y9" s="799"/>
      <c r="Z9" s="1"/>
      <c r="AA9" s="764"/>
      <c r="AB9" s="1"/>
      <c r="AC9" s="764"/>
    </row>
    <row r="10" ht="14.25" customHeight="1">
      <c r="A10" s="803" t="s">
        <v>240</v>
      </c>
      <c r="B10" s="1"/>
      <c r="C10" s="800" t="s">
        <v>335</v>
      </c>
      <c r="D10" s="1"/>
      <c r="E10" s="764"/>
      <c r="F10" s="1"/>
      <c r="G10" s="803" t="s">
        <v>349</v>
      </c>
      <c r="H10" s="1"/>
      <c r="I10" s="764"/>
      <c r="J10" s="1"/>
      <c r="K10" s="799" t="s">
        <v>390</v>
      </c>
      <c r="L10" s="1"/>
      <c r="M10" s="764"/>
      <c r="N10" s="1"/>
      <c r="O10" s="764"/>
      <c r="P10" s="1"/>
      <c r="Q10" s="799" t="s">
        <v>366</v>
      </c>
      <c r="R10" s="1"/>
      <c r="S10" s="764"/>
      <c r="T10" s="1"/>
      <c r="U10" s="803" t="s">
        <v>266</v>
      </c>
      <c r="V10" s="1"/>
      <c r="W10" s="764"/>
      <c r="X10" s="1"/>
      <c r="Y10" s="799"/>
      <c r="Z10" s="1"/>
      <c r="AA10" s="764"/>
      <c r="AB10" s="1"/>
      <c r="AC10" s="764"/>
    </row>
    <row r="11" ht="14.25" customHeight="1">
      <c r="A11" s="805" t="s">
        <v>241</v>
      </c>
      <c r="B11" s="1"/>
      <c r="C11" s="800" t="s">
        <v>336</v>
      </c>
      <c r="D11" s="1"/>
      <c r="E11" s="764"/>
      <c r="F11" s="1"/>
      <c r="G11" s="764"/>
      <c r="H11" s="1"/>
      <c r="I11" s="764"/>
      <c r="J11" s="1"/>
      <c r="K11" s="764"/>
      <c r="L11" s="1"/>
      <c r="M11" s="764"/>
      <c r="N11" s="1"/>
      <c r="O11" s="764"/>
      <c r="P11" s="1"/>
      <c r="Q11" s="799" t="s">
        <v>367</v>
      </c>
      <c r="R11" s="1"/>
      <c r="S11" s="764"/>
      <c r="T11" s="1"/>
      <c r="U11" s="764"/>
      <c r="V11" s="1"/>
      <c r="W11" s="764"/>
      <c r="X11" s="1"/>
      <c r="Y11" s="803"/>
      <c r="Z11" s="1"/>
      <c r="AA11" s="764"/>
      <c r="AB11" s="1"/>
      <c r="AC11" s="764"/>
    </row>
    <row r="12" ht="14.25" customHeight="1">
      <c r="A12" s="764"/>
      <c r="B12" s="1"/>
      <c r="C12" s="764"/>
      <c r="D12" s="1"/>
      <c r="E12" s="764"/>
      <c r="F12" s="1"/>
      <c r="G12" s="764"/>
      <c r="H12" s="1"/>
      <c r="I12" s="764"/>
      <c r="J12" s="1"/>
      <c r="K12" s="764"/>
      <c r="L12" s="1"/>
      <c r="M12" s="764"/>
      <c r="N12" s="1"/>
      <c r="O12" s="764"/>
      <c r="P12" s="1"/>
      <c r="Q12" s="799" t="s">
        <v>368</v>
      </c>
      <c r="R12" s="1"/>
      <c r="S12" s="764"/>
      <c r="T12" s="1"/>
      <c r="U12" s="764"/>
      <c r="V12" s="1"/>
      <c r="W12" s="764"/>
      <c r="X12" s="1"/>
      <c r="Y12" s="764"/>
      <c r="Z12" s="1"/>
      <c r="AA12" s="764"/>
      <c r="AB12" s="1"/>
      <c r="AC12" s="764"/>
    </row>
    <row r="13" ht="14.25" customHeight="1">
      <c r="A13" s="764"/>
      <c r="B13" s="1"/>
      <c r="C13" s="764"/>
      <c r="D13" s="1"/>
      <c r="E13" s="764"/>
      <c r="F13" s="1"/>
      <c r="G13" s="764"/>
      <c r="H13" s="1"/>
      <c r="I13" s="764"/>
      <c r="J13" s="1"/>
      <c r="K13" s="764"/>
      <c r="L13" s="1"/>
      <c r="M13" s="764"/>
      <c r="N13" s="1"/>
      <c r="O13" s="764"/>
      <c r="P13" s="1"/>
      <c r="Q13" s="799" t="s">
        <v>365</v>
      </c>
      <c r="R13" s="1"/>
      <c r="S13" s="764"/>
      <c r="T13" s="1"/>
      <c r="U13" s="764"/>
      <c r="V13" s="1"/>
      <c r="W13" s="764"/>
      <c r="X13" s="1"/>
      <c r="Y13" s="764"/>
      <c r="Z13" s="1"/>
      <c r="AA13" s="764"/>
      <c r="AB13" s="1"/>
      <c r="AC13" s="764"/>
    </row>
    <row r="14" ht="14.25" customHeight="1">
      <c r="A14" s="764"/>
      <c r="B14" s="1"/>
      <c r="C14" s="764"/>
      <c r="D14" s="1"/>
      <c r="E14" s="764"/>
      <c r="F14" s="1"/>
      <c r="G14" s="764"/>
      <c r="H14" s="1"/>
      <c r="I14" s="764"/>
      <c r="J14" s="1"/>
      <c r="K14" s="764"/>
      <c r="L14" s="1"/>
      <c r="M14" s="764"/>
      <c r="N14" s="1"/>
      <c r="O14" s="764"/>
      <c r="P14" s="1"/>
      <c r="Q14" s="799" t="s">
        <v>370</v>
      </c>
      <c r="R14" s="1"/>
      <c r="S14" s="764"/>
      <c r="T14" s="1"/>
      <c r="U14" s="764"/>
      <c r="V14" s="1"/>
      <c r="W14" s="764"/>
      <c r="X14" s="1"/>
      <c r="Y14" s="764"/>
      <c r="Z14" s="1"/>
      <c r="AA14" s="764"/>
      <c r="AB14" s="1"/>
      <c r="AC14" s="764"/>
    </row>
    <row r="15" ht="14.25" customHeight="1">
      <c r="A15" s="764"/>
      <c r="B15" s="1"/>
      <c r="C15" s="764"/>
      <c r="D15" s="1"/>
      <c r="E15" s="764"/>
      <c r="F15" s="1"/>
      <c r="G15" s="764"/>
      <c r="H15" s="1"/>
      <c r="I15" s="764"/>
      <c r="J15" s="1"/>
      <c r="K15" s="764"/>
      <c r="L15" s="1"/>
      <c r="M15" s="764"/>
      <c r="N15" s="1"/>
      <c r="O15" s="764"/>
      <c r="P15" s="1"/>
      <c r="Q15" s="799" t="s">
        <v>371</v>
      </c>
      <c r="R15" s="1"/>
      <c r="S15" s="764"/>
      <c r="T15" s="1"/>
      <c r="U15" s="764"/>
      <c r="V15" s="1"/>
      <c r="W15" s="764"/>
      <c r="X15" s="1"/>
      <c r="Y15" s="764"/>
      <c r="Z15" s="1"/>
      <c r="AA15" s="764"/>
      <c r="AB15" s="1"/>
      <c r="AC15" s="764"/>
    </row>
    <row r="16" ht="14.25" customHeight="1">
      <c r="A16" s="764"/>
      <c r="B16" s="1"/>
      <c r="C16" s="764"/>
      <c r="D16" s="1"/>
      <c r="E16" s="764"/>
      <c r="F16" s="1"/>
      <c r="G16" s="764"/>
      <c r="H16" s="1"/>
      <c r="I16" s="764"/>
      <c r="J16" s="1"/>
      <c r="K16" s="764"/>
      <c r="L16" s="1"/>
      <c r="M16" s="764"/>
      <c r="N16" s="1"/>
      <c r="O16" s="764"/>
      <c r="P16" s="1"/>
      <c r="Q16" s="799" t="s">
        <v>372</v>
      </c>
      <c r="R16" s="1"/>
      <c r="S16" s="764"/>
      <c r="T16" s="1"/>
      <c r="U16" s="764"/>
      <c r="V16" s="1"/>
      <c r="W16" s="764"/>
      <c r="X16" s="1"/>
      <c r="Y16" s="764"/>
      <c r="Z16" s="1"/>
      <c r="AA16" s="764"/>
      <c r="AB16" s="1"/>
      <c r="AC16" s="764"/>
    </row>
    <row r="17" ht="14.25" customHeight="1">
      <c r="A17" s="764"/>
      <c r="B17" s="1"/>
      <c r="C17" s="764"/>
      <c r="D17" s="1"/>
      <c r="E17" s="764"/>
      <c r="F17" s="1"/>
      <c r="G17" s="764"/>
      <c r="H17" s="1"/>
      <c r="I17" s="764"/>
      <c r="J17" s="1"/>
      <c r="K17" s="764"/>
      <c r="L17" s="1"/>
      <c r="M17" s="764"/>
      <c r="N17" s="1"/>
      <c r="O17" s="764"/>
      <c r="P17" s="1"/>
      <c r="Q17" s="799" t="s">
        <v>373</v>
      </c>
      <c r="R17" s="1"/>
      <c r="S17" s="764"/>
      <c r="T17" s="1"/>
      <c r="U17" s="764"/>
      <c r="V17" s="1"/>
      <c r="W17" s="764"/>
      <c r="X17" s="1"/>
      <c r="Y17" s="764"/>
      <c r="Z17" s="1"/>
      <c r="AA17" s="764"/>
      <c r="AB17" s="1"/>
      <c r="AC17" s="764"/>
    </row>
    <row r="18" ht="14.25" customHeight="1">
      <c r="A18" s="764"/>
      <c r="B18" s="1"/>
      <c r="C18" s="764"/>
      <c r="D18" s="1"/>
      <c r="E18" s="764"/>
      <c r="F18" s="1"/>
      <c r="G18" s="764"/>
      <c r="H18" s="1"/>
      <c r="I18" s="764"/>
      <c r="J18" s="1"/>
      <c r="K18" s="764"/>
      <c r="L18" s="1"/>
      <c r="M18" s="764"/>
      <c r="N18" s="1"/>
      <c r="O18" s="764"/>
      <c r="P18" s="1"/>
      <c r="Q18" s="799" t="s">
        <v>374</v>
      </c>
      <c r="R18" s="1"/>
      <c r="S18" s="764"/>
      <c r="T18" s="1"/>
      <c r="U18" s="764"/>
      <c r="V18" s="1"/>
      <c r="W18" s="764"/>
      <c r="X18" s="1"/>
      <c r="Y18" s="764"/>
      <c r="Z18" s="1"/>
      <c r="AA18" s="764"/>
      <c r="AB18" s="1"/>
      <c r="AC18" s="764"/>
    </row>
    <row r="19" ht="14.25" customHeight="1">
      <c r="A19" s="764"/>
      <c r="B19" s="1"/>
      <c r="C19" s="764"/>
      <c r="D19" s="1"/>
      <c r="E19" s="764"/>
      <c r="F19" s="1"/>
      <c r="G19" s="764"/>
      <c r="H19" s="1"/>
      <c r="I19" s="764"/>
      <c r="J19" s="1"/>
      <c r="K19" s="764"/>
      <c r="L19" s="1"/>
      <c r="M19" s="764"/>
      <c r="N19" s="1"/>
      <c r="O19" s="764"/>
      <c r="P19" s="1"/>
      <c r="Q19" s="799" t="s">
        <v>375</v>
      </c>
      <c r="R19" s="1"/>
      <c r="S19" s="764"/>
      <c r="T19" s="1"/>
      <c r="U19" s="764"/>
      <c r="V19" s="1"/>
      <c r="W19" s="764"/>
      <c r="X19" s="1"/>
      <c r="Y19" s="764"/>
      <c r="Z19" s="1"/>
      <c r="AA19" s="764"/>
      <c r="AB19" s="1"/>
      <c r="AC19" s="764"/>
    </row>
    <row r="20" ht="14.25" customHeight="1">
      <c r="A20" s="764"/>
      <c r="B20" s="1"/>
      <c r="C20" s="764"/>
      <c r="D20" s="1"/>
      <c r="E20" s="764"/>
      <c r="F20" s="1"/>
      <c r="G20" s="764"/>
      <c r="H20" s="1"/>
      <c r="I20" s="764"/>
      <c r="J20" s="1"/>
      <c r="K20" s="764"/>
      <c r="L20" s="1"/>
      <c r="M20" s="764"/>
      <c r="N20" s="1"/>
      <c r="O20" s="764"/>
      <c r="P20" s="1"/>
      <c r="Q20" s="803" t="s">
        <v>117</v>
      </c>
      <c r="R20" s="1"/>
      <c r="S20" s="764"/>
      <c r="T20" s="1"/>
      <c r="U20" s="764"/>
      <c r="V20" s="1"/>
      <c r="W20" s="764"/>
      <c r="X20" s="1"/>
      <c r="Y20" s="764"/>
      <c r="Z20" s="1"/>
      <c r="AA20" s="764"/>
      <c r="AB20" s="1"/>
      <c r="AC20" s="764"/>
    </row>
    <row r="21" ht="14.25" customHeight="1">
      <c r="A21" s="764"/>
      <c r="B21" s="1"/>
      <c r="C21" s="764"/>
      <c r="D21" s="1"/>
      <c r="E21" s="764"/>
      <c r="F21" s="1"/>
      <c r="G21" s="764"/>
      <c r="H21" s="1"/>
      <c r="I21" s="764"/>
      <c r="J21" s="1"/>
      <c r="K21" s="764"/>
      <c r="L21" s="1"/>
      <c r="M21" s="764"/>
      <c r="N21" s="1"/>
      <c r="O21" s="764"/>
      <c r="P21" s="1"/>
      <c r="Q21" s="803" t="s">
        <v>376</v>
      </c>
      <c r="R21" s="1"/>
      <c r="S21" s="764"/>
      <c r="T21" s="1"/>
      <c r="U21" s="764"/>
      <c r="V21" s="1"/>
      <c r="W21" s="764"/>
      <c r="X21" s="1"/>
      <c r="Y21" s="764"/>
      <c r="Z21" s="1"/>
      <c r="AA21" s="764"/>
      <c r="AB21" s="1"/>
      <c r="AC21" s="764"/>
    </row>
    <row r="22" ht="14.25" customHeight="1">
      <c r="A22" s="764"/>
      <c r="B22" s="1"/>
      <c r="C22" s="764"/>
      <c r="D22" s="1"/>
      <c r="E22" s="764"/>
      <c r="F22" s="1"/>
      <c r="G22" s="764"/>
      <c r="H22" s="1"/>
      <c r="I22" s="764"/>
      <c r="J22" s="1"/>
      <c r="K22" s="764"/>
      <c r="L22" s="1"/>
      <c r="M22" s="764"/>
      <c r="N22" s="1"/>
      <c r="O22" s="764"/>
      <c r="P22" s="1"/>
      <c r="Q22" s="764"/>
      <c r="R22" s="1"/>
      <c r="S22" s="764"/>
      <c r="T22" s="1"/>
      <c r="U22" s="764"/>
      <c r="V22" s="1"/>
      <c r="W22" s="764"/>
      <c r="X22" s="1"/>
      <c r="Y22" s="764"/>
      <c r="Z22" s="1"/>
      <c r="AA22" s="764"/>
      <c r="AB22" s="1"/>
      <c r="AC22" s="764"/>
    </row>
    <row r="23" ht="14.25" customHeight="1">
      <c r="A23" s="764"/>
      <c r="B23" s="1"/>
      <c r="C23" s="764"/>
      <c r="D23" s="1"/>
      <c r="E23" s="764"/>
      <c r="F23" s="1"/>
      <c r="G23" s="764"/>
      <c r="H23" s="1"/>
      <c r="I23" s="764"/>
      <c r="J23" s="1"/>
      <c r="K23" s="764"/>
      <c r="L23" s="1"/>
      <c r="M23" s="764"/>
      <c r="N23" s="1"/>
      <c r="O23" s="764"/>
      <c r="P23" s="1"/>
      <c r="Q23" s="764"/>
      <c r="R23" s="1"/>
      <c r="S23" s="764"/>
      <c r="T23" s="1"/>
      <c r="U23" s="764"/>
      <c r="V23" s="1"/>
      <c r="W23" s="764"/>
      <c r="X23" s="1"/>
      <c r="Y23" s="764"/>
      <c r="Z23" s="1"/>
      <c r="AA23" s="764"/>
      <c r="AB23" s="1"/>
      <c r="AC23" s="764"/>
    </row>
    <row r="24" ht="14.25" customHeight="1">
      <c r="A24" s="764"/>
      <c r="B24" s="1"/>
      <c r="C24" s="764"/>
      <c r="D24" s="1"/>
      <c r="E24" s="764"/>
      <c r="F24" s="1"/>
      <c r="G24" s="764"/>
      <c r="H24" s="1"/>
      <c r="I24" s="764"/>
      <c r="J24" s="1"/>
      <c r="K24" s="764"/>
      <c r="L24" s="1"/>
      <c r="M24" s="764"/>
      <c r="N24" s="1"/>
      <c r="O24" s="764"/>
      <c r="P24" s="1"/>
      <c r="Q24" s="764"/>
      <c r="R24" s="1"/>
      <c r="S24" s="764"/>
      <c r="T24" s="1"/>
      <c r="U24" s="764"/>
      <c r="V24" s="1"/>
      <c r="W24" s="764"/>
      <c r="X24" s="1"/>
      <c r="Y24" s="764"/>
      <c r="Z24" s="1"/>
      <c r="AA24" s="764"/>
      <c r="AB24" s="1"/>
      <c r="AC24" s="764"/>
    </row>
    <row r="25" ht="14.25" customHeight="1">
      <c r="A25" s="764"/>
      <c r="B25" s="1"/>
      <c r="C25" s="764"/>
      <c r="D25" s="1"/>
      <c r="E25" s="764"/>
      <c r="F25" s="1"/>
      <c r="G25" s="764"/>
      <c r="H25" s="1"/>
      <c r="I25" s="764"/>
      <c r="J25" s="1"/>
      <c r="K25" s="764"/>
      <c r="L25" s="1"/>
      <c r="M25" s="764"/>
      <c r="N25" s="1"/>
      <c r="O25" s="764"/>
      <c r="P25" s="1"/>
      <c r="Q25" s="764"/>
      <c r="R25" s="1"/>
      <c r="S25" s="764"/>
      <c r="T25" s="1"/>
      <c r="U25" s="764"/>
      <c r="V25" s="1"/>
      <c r="W25" s="764"/>
      <c r="X25" s="1"/>
      <c r="Y25" s="764"/>
      <c r="Z25" s="1"/>
      <c r="AA25" s="764"/>
      <c r="AB25" s="1"/>
      <c r="AC25" s="764"/>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ht="14.25" customHeight="1">
      <c r="A28" s="322" t="s">
        <v>394</v>
      </c>
      <c r="B28" s="1"/>
      <c r="C28" s="322" t="s">
        <v>460</v>
      </c>
      <c r="D28" s="1"/>
      <c r="E28" s="1"/>
      <c r="F28" s="1"/>
      <c r="G28" s="1"/>
      <c r="H28" s="1"/>
      <c r="I28" s="1"/>
      <c r="J28" s="1"/>
      <c r="K28" s="1"/>
      <c r="L28" s="1"/>
      <c r="M28" s="1"/>
      <c r="N28" s="1"/>
      <c r="O28" s="1"/>
      <c r="P28" s="1"/>
      <c r="Q28" s="1"/>
      <c r="R28" s="1"/>
      <c r="S28" s="1"/>
      <c r="T28" s="1"/>
      <c r="U28" s="1"/>
      <c r="V28" s="1"/>
      <c r="W28" s="1"/>
      <c r="X28" s="1"/>
      <c r="Y28" s="1"/>
      <c r="Z28" s="1"/>
      <c r="AA28" s="1"/>
      <c r="AB28" s="1"/>
      <c r="AC28" s="1"/>
    </row>
    <row r="29" ht="14.25" customHeight="1">
      <c r="A29" s="755" t="s">
        <v>394</v>
      </c>
      <c r="B29" s="1"/>
      <c r="C29" s="755" t="s">
        <v>253</v>
      </c>
      <c r="D29" s="1"/>
      <c r="E29" s="1"/>
      <c r="F29" s="1"/>
      <c r="G29" s="1"/>
      <c r="H29" s="1"/>
      <c r="I29" s="1"/>
      <c r="J29" s="1"/>
      <c r="K29" s="1"/>
      <c r="L29" s="1"/>
      <c r="M29" s="1"/>
      <c r="N29" s="1"/>
      <c r="O29" s="1"/>
      <c r="P29" s="1"/>
      <c r="Q29" s="1"/>
      <c r="R29" s="1"/>
      <c r="S29" s="1"/>
      <c r="T29" s="1"/>
      <c r="U29" s="1"/>
      <c r="V29" s="1"/>
      <c r="W29" s="1"/>
      <c r="X29" s="1"/>
      <c r="Y29" s="1"/>
      <c r="Z29" s="1"/>
      <c r="AA29" s="1"/>
      <c r="AB29" s="1"/>
      <c r="AC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ht="14.25" customHeight="1">
      <c r="A32" s="806"/>
      <c r="B32" s="806"/>
      <c r="C32" s="806"/>
      <c r="D32" s="806"/>
      <c r="E32" s="806"/>
      <c r="F32" s="806"/>
      <c r="G32" s="806"/>
      <c r="H32" s="806"/>
      <c r="I32" s="806"/>
      <c r="J32" s="806"/>
      <c r="K32" s="806"/>
      <c r="L32" s="806"/>
      <c r="M32" s="806"/>
      <c r="N32" s="806"/>
      <c r="O32" s="806"/>
      <c r="P32" s="806"/>
      <c r="Q32" s="806"/>
      <c r="R32" s="806"/>
      <c r="S32" s="806"/>
      <c r="T32" s="806"/>
      <c r="U32" s="806"/>
      <c r="V32" s="806"/>
      <c r="W32" s="806"/>
      <c r="X32" s="806"/>
      <c r="Y32" s="806"/>
      <c r="Z32" s="806"/>
      <c r="AA32" s="806"/>
      <c r="AB32" s="806"/>
      <c r="AC32" s="806"/>
    </row>
    <row r="33" ht="14.25" customHeight="1">
      <c r="A33" s="1"/>
      <c r="B33" s="1"/>
      <c r="C33" s="1"/>
      <c r="D33" s="1"/>
      <c r="E33" s="1"/>
      <c r="F33" s="1"/>
      <c r="G33" s="1"/>
      <c r="H33" s="1"/>
      <c r="I33" s="1"/>
      <c r="J33" s="807" t="s">
        <v>461</v>
      </c>
      <c r="K33" s="292"/>
      <c r="L33" s="1"/>
      <c r="M33" s="1"/>
      <c r="N33" s="1"/>
      <c r="O33" s="1"/>
      <c r="P33" s="1"/>
      <c r="Q33" s="1"/>
      <c r="R33" s="1"/>
      <c r="S33" s="1"/>
      <c r="T33" s="1"/>
      <c r="U33" s="1"/>
      <c r="V33" s="1"/>
      <c r="W33" s="1"/>
      <c r="X33" s="1"/>
      <c r="Y33" s="1"/>
      <c r="Z33" s="1"/>
      <c r="AA33" s="1"/>
      <c r="AB33" s="1"/>
      <c r="AC33" s="1"/>
    </row>
    <row r="34" ht="14.25" customHeight="1">
      <c r="A34" s="1"/>
      <c r="B34" s="808" t="s">
        <v>324</v>
      </c>
      <c r="C34" s="42"/>
      <c r="D34" s="47"/>
      <c r="E34" s="1"/>
      <c r="F34" s="808" t="s">
        <v>462</v>
      </c>
      <c r="G34" s="42"/>
      <c r="H34" s="47"/>
      <c r="I34" s="1"/>
      <c r="J34" s="322" t="s">
        <v>463</v>
      </c>
      <c r="K34" s="322" t="s">
        <v>464</v>
      </c>
      <c r="L34" s="1"/>
      <c r="M34" s="809" t="s">
        <v>465</v>
      </c>
      <c r="N34" s="15"/>
      <c r="O34" s="1"/>
      <c r="P34" s="1"/>
      <c r="Q34" s="810" t="s">
        <v>466</v>
      </c>
      <c r="R34" s="14"/>
      <c r="S34" s="14"/>
      <c r="T34" s="15"/>
      <c r="U34" s="1"/>
      <c r="V34" s="1"/>
      <c r="W34" s="1"/>
      <c r="X34" s="1"/>
      <c r="Y34" s="1"/>
      <c r="Z34" s="1"/>
      <c r="AA34" s="1"/>
      <c r="AB34" s="1"/>
      <c r="AC34" s="1"/>
    </row>
    <row r="35" ht="14.25" customHeight="1">
      <c r="A35" s="1"/>
      <c r="B35" s="196" t="s">
        <v>108</v>
      </c>
      <c r="C35" s="322" t="s">
        <v>467</v>
      </c>
      <c r="D35" s="322" t="s">
        <v>468</v>
      </c>
      <c r="E35" s="1"/>
      <c r="F35" s="322" t="s">
        <v>467</v>
      </c>
      <c r="G35" s="196" t="s">
        <v>469</v>
      </c>
      <c r="H35" s="322" t="s">
        <v>470</v>
      </c>
      <c r="I35" s="1"/>
      <c r="J35" s="755" t="s">
        <v>232</v>
      </c>
      <c r="K35" s="754">
        <v>1.0</v>
      </c>
      <c r="L35" s="1"/>
      <c r="M35" s="322" t="s">
        <v>471</v>
      </c>
      <c r="N35" s="322" t="s">
        <v>470</v>
      </c>
      <c r="O35" s="1"/>
      <c r="P35" s="1"/>
      <c r="Q35" s="322" t="s">
        <v>472</v>
      </c>
      <c r="R35" s="322" t="s">
        <v>473</v>
      </c>
      <c r="S35" s="322" t="s">
        <v>474</v>
      </c>
      <c r="T35" s="322" t="s">
        <v>475</v>
      </c>
      <c r="U35" s="1"/>
      <c r="V35" s="1"/>
      <c r="W35" s="811" t="s">
        <v>476</v>
      </c>
      <c r="X35" s="812" t="s">
        <v>477</v>
      </c>
      <c r="Y35" s="1"/>
      <c r="Z35" s="1"/>
      <c r="AA35" s="1"/>
      <c r="AB35" s="1"/>
      <c r="AC35" s="1"/>
    </row>
    <row r="36" ht="43.5" customHeight="1">
      <c r="A36" s="1"/>
      <c r="B36" s="755" t="s">
        <v>351</v>
      </c>
      <c r="C36" s="755" t="s">
        <v>478</v>
      </c>
      <c r="D36" s="754">
        <v>1.15</v>
      </c>
      <c r="E36" s="1"/>
      <c r="F36" s="755" t="s">
        <v>123</v>
      </c>
      <c r="G36" s="755" t="s">
        <v>479</v>
      </c>
      <c r="H36" s="754">
        <v>1.15</v>
      </c>
      <c r="I36" s="1"/>
      <c r="J36" s="755" t="s">
        <v>234</v>
      </c>
      <c r="K36" s="754">
        <v>0.67</v>
      </c>
      <c r="L36" s="1"/>
      <c r="M36" s="755" t="s">
        <v>480</v>
      </c>
      <c r="N36" s="755">
        <v>1.0</v>
      </c>
      <c r="O36" s="1"/>
      <c r="P36" s="1"/>
      <c r="Q36" s="754" t="s">
        <v>481</v>
      </c>
      <c r="R36" s="754">
        <v>0.3</v>
      </c>
      <c r="S36" s="754">
        <f t="shared" ref="S36:S38" si="1">R36*12</f>
        <v>3.6</v>
      </c>
      <c r="T36" s="813">
        <f t="shared" ref="T36:T38" si="2">3.14*(S36*S36)/10000</f>
        <v>0.00406944</v>
      </c>
      <c r="U36" s="1"/>
      <c r="V36" s="1"/>
      <c r="W36" s="764" t="s">
        <v>482</v>
      </c>
      <c r="X36" s="764" t="s">
        <v>483</v>
      </c>
      <c r="Y36" s="1"/>
      <c r="Z36" s="1"/>
      <c r="AA36" s="1"/>
      <c r="AB36" s="1"/>
      <c r="AC36" s="1"/>
    </row>
    <row r="37" ht="55.5" customHeight="1">
      <c r="A37" s="1"/>
      <c r="B37" s="755" t="s">
        <v>234</v>
      </c>
      <c r="C37" s="755" t="s">
        <v>484</v>
      </c>
      <c r="D37" s="754">
        <v>1.1</v>
      </c>
      <c r="E37" s="1"/>
      <c r="F37" s="755" t="s">
        <v>116</v>
      </c>
      <c r="G37" s="755" t="s">
        <v>485</v>
      </c>
      <c r="H37" s="754">
        <v>1.0</v>
      </c>
      <c r="I37" s="1"/>
      <c r="J37" s="755" t="s">
        <v>351</v>
      </c>
      <c r="K37" s="754">
        <v>0.33</v>
      </c>
      <c r="L37" s="1"/>
      <c r="M37" s="755" t="s">
        <v>486</v>
      </c>
      <c r="N37" s="755">
        <v>0.75</v>
      </c>
      <c r="O37" s="1"/>
      <c r="P37" s="1"/>
      <c r="Q37" s="754" t="s">
        <v>234</v>
      </c>
      <c r="R37" s="754">
        <v>0.9</v>
      </c>
      <c r="S37" s="754">
        <f t="shared" si="1"/>
        <v>10.8</v>
      </c>
      <c r="T37" s="813">
        <f t="shared" si="2"/>
        <v>0.03662496</v>
      </c>
      <c r="U37" s="1"/>
      <c r="V37" s="1"/>
      <c r="W37" s="764" t="s">
        <v>487</v>
      </c>
      <c r="X37" s="764" t="s">
        <v>488</v>
      </c>
      <c r="Y37" s="1"/>
      <c r="Z37" s="1"/>
      <c r="AA37" s="1"/>
      <c r="AB37" s="1"/>
      <c r="AC37" s="1"/>
    </row>
    <row r="38" ht="14.25" customHeight="1">
      <c r="A38" s="1"/>
      <c r="B38" s="814" t="s">
        <v>232</v>
      </c>
      <c r="C38" s="755" t="s">
        <v>489</v>
      </c>
      <c r="D38" s="754">
        <v>1.0</v>
      </c>
      <c r="E38" s="1"/>
      <c r="F38" s="755"/>
      <c r="G38" s="755"/>
      <c r="H38" s="754"/>
      <c r="I38" s="1"/>
      <c r="J38" s="755" t="s">
        <v>490</v>
      </c>
      <c r="K38" s="754">
        <v>0.1</v>
      </c>
      <c r="L38" s="1"/>
      <c r="M38" s="755" t="s">
        <v>491</v>
      </c>
      <c r="N38" s="755">
        <v>0.5</v>
      </c>
      <c r="O38" s="1"/>
      <c r="P38" s="1"/>
      <c r="Q38" s="754" t="s">
        <v>492</v>
      </c>
      <c r="R38" s="754">
        <v>1.3</v>
      </c>
      <c r="S38" s="754">
        <f t="shared" si="1"/>
        <v>15.6</v>
      </c>
      <c r="T38" s="813">
        <f t="shared" si="2"/>
        <v>0.07641504</v>
      </c>
      <c r="U38" s="1"/>
      <c r="V38" s="1"/>
      <c r="W38" s="764" t="s">
        <v>493</v>
      </c>
      <c r="X38" s="764" t="s">
        <v>494</v>
      </c>
      <c r="Y38" s="1"/>
      <c r="Z38" s="1"/>
      <c r="AA38" s="1"/>
      <c r="AB38" s="1"/>
      <c r="AC38" s="1"/>
    </row>
    <row r="39" ht="14.25" customHeight="1">
      <c r="A39" s="1"/>
      <c r="B39" s="814" t="s">
        <v>397</v>
      </c>
      <c r="C39" s="755" t="s">
        <v>495</v>
      </c>
      <c r="D39" s="754">
        <v>1.0</v>
      </c>
      <c r="E39" s="1"/>
      <c r="F39" s="1"/>
      <c r="G39" s="1"/>
      <c r="H39" s="1"/>
      <c r="I39" s="1"/>
      <c r="J39" s="1"/>
      <c r="K39" s="1"/>
      <c r="L39" s="1"/>
      <c r="M39" s="1"/>
      <c r="N39" s="1"/>
      <c r="O39" s="1"/>
      <c r="P39" s="1"/>
      <c r="Q39" s="1"/>
      <c r="R39" s="1"/>
      <c r="S39" s="1"/>
      <c r="T39" s="1"/>
      <c r="U39" s="1"/>
      <c r="V39" s="1"/>
      <c r="W39" s="764" t="s">
        <v>496</v>
      </c>
      <c r="X39" s="764" t="s">
        <v>497</v>
      </c>
      <c r="Y39" s="1"/>
      <c r="Z39" s="1"/>
      <c r="AA39" s="1"/>
      <c r="AB39" s="1"/>
      <c r="AC39" s="1"/>
    </row>
    <row r="40" ht="14.25" customHeight="1">
      <c r="A40" s="1"/>
      <c r="B40" s="1"/>
      <c r="C40" s="1"/>
      <c r="D40" s="1"/>
      <c r="E40" s="1"/>
      <c r="F40" s="1"/>
      <c r="G40" s="1"/>
      <c r="H40" s="1"/>
      <c r="I40" s="1"/>
      <c r="J40" s="1"/>
      <c r="K40" s="1"/>
      <c r="L40" s="1"/>
      <c r="M40" s="1"/>
      <c r="N40" s="1"/>
      <c r="O40" s="1"/>
      <c r="P40" s="1"/>
      <c r="Q40" s="1"/>
      <c r="R40" s="1"/>
      <c r="S40" s="1"/>
      <c r="T40" s="1"/>
      <c r="U40" s="1"/>
      <c r="V40" s="1"/>
      <c r="W40" s="764" t="s">
        <v>498</v>
      </c>
      <c r="X40" s="764" t="s">
        <v>499</v>
      </c>
      <c r="Y40" s="1"/>
      <c r="Z40" s="1"/>
      <c r="AA40" s="1"/>
      <c r="AB40" s="1"/>
      <c r="AC40" s="1"/>
    </row>
    <row r="41" ht="14.25" customHeight="1">
      <c r="A41" s="1"/>
      <c r="B41" s="1"/>
      <c r="C41" s="1"/>
      <c r="D41" s="1"/>
      <c r="E41" s="1"/>
      <c r="F41" s="1"/>
      <c r="G41" s="1"/>
      <c r="H41" s="1"/>
      <c r="I41" s="1"/>
      <c r="J41" s="1"/>
      <c r="K41" s="1"/>
      <c r="L41" s="1"/>
      <c r="M41" s="1"/>
      <c r="N41" s="1"/>
      <c r="O41" s="1"/>
      <c r="P41" s="1"/>
      <c r="Q41" s="1"/>
      <c r="R41" s="1"/>
      <c r="S41" s="1"/>
      <c r="T41" s="1"/>
      <c r="U41" s="1"/>
      <c r="V41" s="1"/>
      <c r="W41" s="764" t="s">
        <v>500</v>
      </c>
      <c r="X41" s="764" t="s">
        <v>501</v>
      </c>
      <c r="Y41" s="1"/>
      <c r="Z41" s="1"/>
      <c r="AA41" s="1"/>
      <c r="AB41" s="1"/>
      <c r="AC41" s="1"/>
    </row>
    <row r="42" ht="14.25" customHeight="1">
      <c r="A42" s="1"/>
      <c r="B42" s="1"/>
      <c r="C42" s="1"/>
      <c r="D42" s="1"/>
      <c r="E42" s="1"/>
      <c r="F42" s="1"/>
      <c r="G42" s="1"/>
      <c r="H42" s="1"/>
      <c r="I42" s="1"/>
      <c r="J42" s="1"/>
      <c r="K42" s="1"/>
      <c r="L42" s="1"/>
      <c r="M42" s="1"/>
      <c r="N42" s="1"/>
      <c r="O42" s="1"/>
      <c r="P42" s="1"/>
      <c r="Q42" s="1"/>
      <c r="R42" s="1"/>
      <c r="S42" s="1"/>
      <c r="T42" s="1"/>
      <c r="U42" s="1"/>
      <c r="V42" s="1"/>
      <c r="W42" s="764" t="s">
        <v>502</v>
      </c>
      <c r="X42" s="764"/>
      <c r="Y42" s="1"/>
      <c r="Z42" s="1"/>
      <c r="AA42" s="1"/>
      <c r="AB42" s="1"/>
      <c r="AC42" s="1"/>
    </row>
    <row r="43" ht="14.25" customHeight="1">
      <c r="A43" s="1"/>
      <c r="B43" s="1"/>
      <c r="C43" s="1"/>
      <c r="D43" s="1"/>
      <c r="E43" s="1"/>
      <c r="F43" s="1"/>
      <c r="G43" s="1"/>
      <c r="H43" s="1"/>
      <c r="I43" s="1"/>
      <c r="J43" s="1"/>
      <c r="K43" s="1"/>
      <c r="L43" s="1"/>
      <c r="M43" s="1"/>
      <c r="N43" s="1"/>
      <c r="O43" s="1"/>
      <c r="P43" s="1"/>
      <c r="Q43" s="1"/>
      <c r="R43" s="1"/>
      <c r="S43" s="1"/>
      <c r="T43" s="1"/>
      <c r="U43" s="1"/>
      <c r="V43" s="1"/>
      <c r="W43" s="764" t="s">
        <v>503</v>
      </c>
      <c r="X43" s="764"/>
      <c r="Y43" s="1"/>
      <c r="Z43" s="1"/>
      <c r="AA43" s="1"/>
      <c r="AB43" s="1"/>
      <c r="AC43" s="1"/>
    </row>
    <row r="44" ht="14.25" customHeight="1">
      <c r="A44" s="1"/>
      <c r="B44" s="1"/>
      <c r="C44" s="1"/>
      <c r="D44" s="1"/>
      <c r="E44" s="1"/>
      <c r="F44" s="1"/>
      <c r="G44" s="1"/>
      <c r="H44" s="1"/>
      <c r="I44" s="1"/>
      <c r="J44" s="1"/>
      <c r="K44" s="1"/>
      <c r="L44" s="1"/>
      <c r="M44" s="1"/>
      <c r="N44" s="1"/>
      <c r="O44" s="1"/>
      <c r="P44" s="1"/>
      <c r="Q44" s="1"/>
      <c r="R44" s="1"/>
      <c r="S44" s="1"/>
      <c r="T44" s="1"/>
      <c r="U44" s="1"/>
      <c r="V44" s="1"/>
      <c r="W44" s="764" t="s">
        <v>504</v>
      </c>
      <c r="X44" s="764"/>
      <c r="Y44" s="1"/>
      <c r="Z44" s="1"/>
      <c r="AA44" s="1"/>
      <c r="AB44" s="1"/>
      <c r="AC44" s="1"/>
    </row>
    <row r="45" ht="28.5" customHeight="1">
      <c r="A45" s="1"/>
      <c r="B45" s="815" t="s">
        <v>505</v>
      </c>
      <c r="C45" s="42"/>
      <c r="D45" s="47"/>
      <c r="E45" s="1"/>
      <c r="F45" s="815" t="s">
        <v>506</v>
      </c>
      <c r="G45" s="47"/>
      <c r="H45" s="1"/>
      <c r="I45" s="816" t="s">
        <v>507</v>
      </c>
      <c r="J45" s="291"/>
      <c r="K45" s="292"/>
      <c r="L45" s="1"/>
      <c r="M45" s="810" t="s">
        <v>121</v>
      </c>
      <c r="N45" s="14"/>
      <c r="O45" s="14"/>
      <c r="P45" s="15"/>
      <c r="Q45" s="1"/>
      <c r="R45" s="1"/>
      <c r="S45" s="815" t="s">
        <v>508</v>
      </c>
      <c r="T45" s="42"/>
      <c r="U45" s="47"/>
      <c r="V45" s="1"/>
      <c r="W45" s="764" t="s">
        <v>509</v>
      </c>
      <c r="X45" s="764"/>
      <c r="Y45" s="1"/>
      <c r="Z45" s="1"/>
      <c r="AA45" s="1"/>
      <c r="AB45" s="1"/>
      <c r="AC45" s="1"/>
    </row>
    <row r="46" ht="14.25" customHeight="1">
      <c r="A46" s="1"/>
      <c r="B46" s="196" t="s">
        <v>510</v>
      </c>
      <c r="C46" s="196" t="s">
        <v>511</v>
      </c>
      <c r="D46" s="196" t="s">
        <v>512</v>
      </c>
      <c r="E46" s="1"/>
      <c r="F46" s="196" t="s">
        <v>513</v>
      </c>
      <c r="G46" s="196" t="s">
        <v>514</v>
      </c>
      <c r="H46" s="1"/>
      <c r="I46" s="196" t="s">
        <v>515</v>
      </c>
      <c r="J46" s="196" t="s">
        <v>516</v>
      </c>
      <c r="K46" s="196" t="s">
        <v>517</v>
      </c>
      <c r="L46" s="1"/>
      <c r="M46" s="322" t="s">
        <v>472</v>
      </c>
      <c r="N46" s="322" t="s">
        <v>473</v>
      </c>
      <c r="O46" s="322" t="s">
        <v>474</v>
      </c>
      <c r="P46" s="322" t="s">
        <v>518</v>
      </c>
      <c r="Q46" s="1"/>
      <c r="R46" s="1"/>
      <c r="S46" s="196" t="s">
        <v>510</v>
      </c>
      <c r="T46" s="196" t="s">
        <v>511</v>
      </c>
      <c r="U46" s="196" t="s">
        <v>512</v>
      </c>
      <c r="V46" s="1"/>
      <c r="W46" s="764" t="s">
        <v>519</v>
      </c>
      <c r="X46" s="764"/>
      <c r="Y46" s="1"/>
      <c r="Z46" s="1"/>
      <c r="AA46" s="1"/>
      <c r="AB46" s="1"/>
      <c r="AC46" s="1"/>
    </row>
    <row r="47" ht="14.25" customHeight="1">
      <c r="A47" s="1"/>
      <c r="B47" s="754" t="s">
        <v>234</v>
      </c>
      <c r="C47" s="754">
        <v>4.0</v>
      </c>
      <c r="D47" s="817" t="s">
        <v>326</v>
      </c>
      <c r="E47" s="1"/>
      <c r="F47" s="754" t="s">
        <v>413</v>
      </c>
      <c r="G47" s="754">
        <v>3.0</v>
      </c>
      <c r="H47" s="1"/>
      <c r="I47" s="754">
        <v>0.0</v>
      </c>
      <c r="J47" s="754">
        <v>100.0</v>
      </c>
      <c r="K47" s="818">
        <v>1.0</v>
      </c>
      <c r="L47" s="1"/>
      <c r="M47" s="754" t="s">
        <v>481</v>
      </c>
      <c r="N47" s="754">
        <v>0.3</v>
      </c>
      <c r="O47" s="754">
        <f>N47*12</f>
        <v>3.6</v>
      </c>
      <c r="P47" s="813">
        <f t="shared" ref="P47:P50" si="3">3.14*(O47*O47)</f>
        <v>40.6944</v>
      </c>
      <c r="Q47" s="1"/>
      <c r="R47" s="1"/>
      <c r="S47" s="754" t="s">
        <v>234</v>
      </c>
      <c r="T47" s="754">
        <v>4.0</v>
      </c>
      <c r="U47" s="755" t="s">
        <v>326</v>
      </c>
      <c r="V47" s="1"/>
      <c r="W47" s="764" t="s">
        <v>520</v>
      </c>
      <c r="X47" s="764"/>
      <c r="Y47" s="1"/>
      <c r="Z47" s="1"/>
      <c r="AA47" s="1"/>
      <c r="AB47" s="1"/>
      <c r="AC47" s="1"/>
    </row>
    <row r="48" ht="14.25" customHeight="1">
      <c r="A48" s="1"/>
      <c r="B48" s="754" t="s">
        <v>232</v>
      </c>
      <c r="C48" s="754">
        <v>2.0</v>
      </c>
      <c r="D48" s="817" t="s">
        <v>331</v>
      </c>
      <c r="E48" s="1"/>
      <c r="F48" s="754" t="s">
        <v>144</v>
      </c>
      <c r="G48" s="754">
        <v>2.0</v>
      </c>
      <c r="H48" s="1"/>
      <c r="I48" s="754">
        <v>1.0</v>
      </c>
      <c r="J48" s="754">
        <v>96.5</v>
      </c>
      <c r="K48" s="818">
        <v>0.965</v>
      </c>
      <c r="L48" s="1"/>
      <c r="M48" s="754" t="s">
        <v>234</v>
      </c>
      <c r="N48" s="754">
        <v>0.6</v>
      </c>
      <c r="O48" s="754">
        <v>7.2</v>
      </c>
      <c r="P48" s="813">
        <f t="shared" si="3"/>
        <v>162.7776</v>
      </c>
      <c r="Q48" s="1"/>
      <c r="R48" s="1"/>
      <c r="S48" s="754" t="s">
        <v>232</v>
      </c>
      <c r="T48" s="754">
        <v>2.0</v>
      </c>
      <c r="U48" s="755" t="s">
        <v>331</v>
      </c>
      <c r="V48" s="1"/>
      <c r="W48" s="764" t="s">
        <v>521</v>
      </c>
      <c r="X48" s="764"/>
      <c r="Y48" s="1"/>
      <c r="Z48" s="1"/>
      <c r="AA48" s="1"/>
      <c r="AB48" s="1"/>
      <c r="AC48" s="1"/>
    </row>
    <row r="49" ht="14.25" customHeight="1">
      <c r="A49" s="1"/>
      <c r="B49" s="754" t="s">
        <v>359</v>
      </c>
      <c r="C49" s="754">
        <v>0.0</v>
      </c>
      <c r="D49" s="817" t="s">
        <v>360</v>
      </c>
      <c r="E49" s="1"/>
      <c r="F49" s="755" t="s">
        <v>414</v>
      </c>
      <c r="G49" s="754">
        <v>1.0</v>
      </c>
      <c r="H49" s="1"/>
      <c r="I49" s="754">
        <v>2.0</v>
      </c>
      <c r="J49" s="754">
        <v>93.1225</v>
      </c>
      <c r="K49" s="818">
        <v>0.931225</v>
      </c>
      <c r="L49" s="1"/>
      <c r="M49" s="754" t="s">
        <v>492</v>
      </c>
      <c r="N49" s="754">
        <v>0.9</v>
      </c>
      <c r="O49" s="754">
        <v>10.8</v>
      </c>
      <c r="P49" s="813">
        <f t="shared" si="3"/>
        <v>366.2496</v>
      </c>
      <c r="Q49" s="1"/>
      <c r="R49" s="1"/>
      <c r="S49" s="754" t="s">
        <v>359</v>
      </c>
      <c r="T49" s="754">
        <v>1.0</v>
      </c>
      <c r="U49" s="755" t="s">
        <v>360</v>
      </c>
      <c r="V49" s="1"/>
      <c r="W49" s="764" t="s">
        <v>522</v>
      </c>
      <c r="X49" s="764"/>
      <c r="Y49" s="1"/>
      <c r="Z49" s="1"/>
      <c r="AA49" s="1"/>
      <c r="AB49" s="1"/>
      <c r="AC49" s="1"/>
    </row>
    <row r="50" ht="14.25" customHeight="1">
      <c r="A50" s="1"/>
      <c r="B50" s="754" t="s">
        <v>351</v>
      </c>
      <c r="C50" s="754">
        <v>6.0</v>
      </c>
      <c r="D50" s="817" t="s">
        <v>326</v>
      </c>
      <c r="E50" s="1"/>
      <c r="F50" s="755" t="s">
        <v>143</v>
      </c>
      <c r="G50" s="754">
        <v>1.0</v>
      </c>
      <c r="H50" s="1"/>
      <c r="I50" s="754">
        <v>3.0</v>
      </c>
      <c r="J50" s="754">
        <v>89.8632125</v>
      </c>
      <c r="K50" s="818">
        <v>0.898632125</v>
      </c>
      <c r="L50" s="1"/>
      <c r="M50" s="754" t="s">
        <v>523</v>
      </c>
      <c r="N50" s="754">
        <v>1.3</v>
      </c>
      <c r="O50" s="754">
        <v>15.6</v>
      </c>
      <c r="P50" s="813">
        <f t="shared" si="3"/>
        <v>764.1504</v>
      </c>
      <c r="Q50" s="1"/>
      <c r="R50" s="1"/>
      <c r="S50" s="754" t="s">
        <v>351</v>
      </c>
      <c r="T50" s="754">
        <v>6.0</v>
      </c>
      <c r="U50" s="755" t="s">
        <v>326</v>
      </c>
      <c r="V50" s="1"/>
      <c r="W50" s="764" t="s">
        <v>524</v>
      </c>
      <c r="X50" s="764"/>
      <c r="Y50" s="1"/>
      <c r="Z50" s="1"/>
      <c r="AA50" s="1"/>
      <c r="AB50" s="1"/>
      <c r="AC50" s="1"/>
    </row>
    <row r="51" ht="14.25" customHeight="1">
      <c r="A51" s="1"/>
      <c r="B51" s="1"/>
      <c r="C51" s="1"/>
      <c r="D51" s="1"/>
      <c r="E51" s="1"/>
      <c r="F51" s="754" t="s">
        <v>142</v>
      </c>
      <c r="G51" s="754">
        <v>0.0</v>
      </c>
      <c r="H51" s="1"/>
      <c r="I51" s="754">
        <v>4.0</v>
      </c>
      <c r="J51" s="754">
        <v>86.71800006</v>
      </c>
      <c r="K51" s="818">
        <v>0.8671800005999999</v>
      </c>
      <c r="L51" s="1"/>
      <c r="M51" s="1"/>
      <c r="N51" s="1"/>
      <c r="O51" s="1"/>
      <c r="P51" s="1"/>
      <c r="Q51" s="1"/>
      <c r="R51" s="1"/>
      <c r="S51" s="1"/>
      <c r="T51" s="1"/>
      <c r="U51" s="1"/>
      <c r="V51" s="1"/>
      <c r="W51" s="764" t="s">
        <v>525</v>
      </c>
      <c r="X51" s="764"/>
      <c r="Y51" s="1"/>
      <c r="Z51" s="1"/>
      <c r="AA51" s="1"/>
      <c r="AB51" s="1"/>
      <c r="AC51" s="1"/>
    </row>
    <row r="52" ht="14.25" customHeight="1">
      <c r="A52" s="1"/>
      <c r="B52" s="1"/>
      <c r="C52" s="1"/>
      <c r="D52" s="1"/>
      <c r="E52" s="1"/>
      <c r="F52" s="1"/>
      <c r="G52" s="1"/>
      <c r="H52" s="1"/>
      <c r="I52" s="754">
        <v>5.0</v>
      </c>
      <c r="J52" s="754">
        <v>83.68287006</v>
      </c>
      <c r="K52" s="818">
        <v>0.8368287006</v>
      </c>
      <c r="L52" s="1"/>
      <c r="M52" s="1"/>
      <c r="N52" s="1"/>
      <c r="O52" s="1"/>
      <c r="P52" s="1"/>
      <c r="Q52" s="1"/>
      <c r="R52" s="1"/>
      <c r="S52" s="1"/>
      <c r="T52" s="1"/>
      <c r="U52" s="1"/>
      <c r="V52" s="1"/>
      <c r="W52" s="764" t="s">
        <v>526</v>
      </c>
      <c r="X52" s="764"/>
      <c r="Y52" s="1"/>
      <c r="Z52" s="1"/>
      <c r="AA52" s="1"/>
      <c r="AB52" s="1"/>
      <c r="AC52" s="1"/>
    </row>
    <row r="53" ht="14.25" customHeight="1">
      <c r="A53" s="1"/>
      <c r="B53" s="1"/>
      <c r="C53" s="1"/>
      <c r="D53" s="1"/>
      <c r="E53" s="1"/>
      <c r="F53" s="1"/>
      <c r="G53" s="1"/>
      <c r="H53" s="1"/>
      <c r="I53" s="754">
        <v>6.0</v>
      </c>
      <c r="J53" s="754">
        <v>80.75396961</v>
      </c>
      <c r="K53" s="818">
        <v>0.8075396961</v>
      </c>
      <c r="L53" s="1"/>
      <c r="M53" s="1"/>
      <c r="N53" s="1"/>
      <c r="O53" s="1"/>
      <c r="P53" s="1"/>
      <c r="Q53" s="1"/>
      <c r="R53" s="1"/>
      <c r="S53" s="1"/>
      <c r="T53" s="1"/>
      <c r="U53" s="1"/>
      <c r="V53" s="1"/>
      <c r="W53" s="764" t="s">
        <v>527</v>
      </c>
      <c r="X53" s="764"/>
      <c r="Y53" s="1"/>
      <c r="Z53" s="1"/>
      <c r="AA53" s="1"/>
      <c r="AB53" s="1"/>
      <c r="AC53" s="1"/>
    </row>
    <row r="54" ht="14.25" customHeight="1">
      <c r="A54" s="1"/>
      <c r="B54" s="1"/>
      <c r="C54" s="1"/>
      <c r="D54" s="1"/>
      <c r="E54" s="1"/>
      <c r="F54" s="1"/>
      <c r="G54" s="1"/>
      <c r="H54" s="1"/>
      <c r="I54" s="754">
        <v>7.0</v>
      </c>
      <c r="J54" s="754">
        <v>77.92758067</v>
      </c>
      <c r="K54" s="818">
        <v>0.7792758067</v>
      </c>
      <c r="L54" s="1"/>
      <c r="M54" s="1"/>
      <c r="N54" s="1"/>
      <c r="O54" s="1"/>
      <c r="P54" s="1"/>
      <c r="Q54" s="1"/>
      <c r="R54" s="1"/>
      <c r="S54" s="1"/>
      <c r="T54" s="1"/>
      <c r="U54" s="1"/>
      <c r="V54" s="1"/>
      <c r="W54" s="764" t="s">
        <v>528</v>
      </c>
      <c r="X54" s="764"/>
      <c r="Y54" s="1"/>
      <c r="Z54" s="1"/>
      <c r="AA54" s="1"/>
      <c r="AB54" s="1"/>
      <c r="AC54" s="1"/>
    </row>
    <row r="55" ht="14.25" customHeight="1">
      <c r="A55" s="1"/>
      <c r="B55" s="1"/>
      <c r="C55" s="1"/>
      <c r="D55" s="1"/>
      <c r="E55" s="1"/>
      <c r="F55" s="1"/>
      <c r="G55" s="1"/>
      <c r="H55" s="1"/>
      <c r="I55" s="754">
        <v>8.0</v>
      </c>
      <c r="J55" s="754">
        <v>75.20011535</v>
      </c>
      <c r="K55" s="818">
        <v>0.7520011535000001</v>
      </c>
      <c r="L55" s="1"/>
      <c r="M55" s="1"/>
      <c r="N55" s="1"/>
      <c r="O55" s="1"/>
      <c r="P55" s="1"/>
      <c r="Q55" s="1"/>
      <c r="R55" s="1"/>
      <c r="S55" s="1"/>
      <c r="T55" s="1"/>
      <c r="U55" s="1"/>
      <c r="V55" s="1"/>
      <c r="W55" s="764" t="s">
        <v>529</v>
      </c>
      <c r="X55" s="764"/>
      <c r="Y55" s="1"/>
      <c r="Z55" s="1"/>
      <c r="AA55" s="1"/>
      <c r="AB55" s="1"/>
      <c r="AC55" s="1"/>
    </row>
    <row r="56" ht="14.25" customHeight="1">
      <c r="A56" s="1"/>
      <c r="B56" s="1"/>
      <c r="C56" s="1"/>
      <c r="D56" s="1"/>
      <c r="E56" s="1"/>
      <c r="F56" s="1"/>
      <c r="G56" s="1"/>
      <c r="H56" s="1"/>
      <c r="I56" s="754">
        <v>9.0</v>
      </c>
      <c r="J56" s="754">
        <v>72.56811131</v>
      </c>
      <c r="K56" s="818">
        <v>0.7256811131</v>
      </c>
      <c r="L56" s="1"/>
      <c r="M56" s="1"/>
      <c r="N56" s="1"/>
      <c r="O56" s="1"/>
      <c r="P56" s="1"/>
      <c r="Q56" s="1"/>
      <c r="R56" s="1"/>
      <c r="S56" s="1"/>
      <c r="T56" s="1"/>
      <c r="U56" s="1"/>
      <c r="V56" s="1"/>
      <c r="W56" s="764" t="s">
        <v>530</v>
      </c>
      <c r="X56" s="764"/>
      <c r="Y56" s="1"/>
      <c r="Z56" s="1"/>
      <c r="AA56" s="1"/>
      <c r="AB56" s="1"/>
      <c r="AC56" s="1"/>
    </row>
    <row r="57" ht="14.25" customHeight="1">
      <c r="A57" s="1"/>
      <c r="B57" s="1"/>
      <c r="C57" s="1"/>
      <c r="D57" s="1"/>
      <c r="E57" s="1"/>
      <c r="F57" s="1"/>
      <c r="G57" s="1"/>
      <c r="H57" s="1"/>
      <c r="I57" s="754">
        <v>10.0</v>
      </c>
      <c r="J57" s="754">
        <v>70.02822742</v>
      </c>
      <c r="K57" s="818">
        <v>0.7002822741999999</v>
      </c>
      <c r="L57" s="1"/>
      <c r="M57" s="1"/>
      <c r="N57" s="1"/>
      <c r="O57" s="1"/>
      <c r="P57" s="1"/>
      <c r="Q57" s="1"/>
      <c r="R57" s="1"/>
      <c r="S57" s="1"/>
      <c r="T57" s="1"/>
      <c r="U57" s="1"/>
      <c r="V57" s="1"/>
      <c r="W57" s="764" t="s">
        <v>531</v>
      </c>
      <c r="X57" s="764"/>
      <c r="Y57" s="1"/>
      <c r="Z57" s="1"/>
      <c r="AA57" s="1"/>
      <c r="AB57" s="1"/>
      <c r="AC57" s="1"/>
    </row>
    <row r="58" ht="14.25" customHeight="1">
      <c r="A58" s="1"/>
      <c r="B58" s="1"/>
      <c r="C58" s="1"/>
      <c r="D58" s="1"/>
      <c r="E58" s="1"/>
      <c r="F58" s="1"/>
      <c r="G58" s="1"/>
      <c r="H58" s="1"/>
      <c r="I58" s="754">
        <v>11.0</v>
      </c>
      <c r="J58" s="754">
        <v>67.57723946</v>
      </c>
      <c r="K58" s="818">
        <v>0.6757723946</v>
      </c>
      <c r="L58" s="1"/>
      <c r="M58" s="1"/>
      <c r="N58" s="1"/>
      <c r="O58" s="1"/>
      <c r="P58" s="1"/>
      <c r="Q58" s="1"/>
      <c r="R58" s="1"/>
      <c r="S58" s="1"/>
      <c r="T58" s="1"/>
      <c r="U58" s="1"/>
      <c r="V58" s="1"/>
      <c r="W58" s="764" t="s">
        <v>532</v>
      </c>
      <c r="X58" s="764"/>
      <c r="Y58" s="1"/>
      <c r="Z58" s="1"/>
      <c r="AA58" s="1"/>
      <c r="AB58" s="1"/>
      <c r="AC58" s="1"/>
    </row>
    <row r="59" ht="14.25" customHeight="1">
      <c r="A59" s="1"/>
      <c r="B59" s="1"/>
      <c r="C59" s="1"/>
      <c r="D59" s="1"/>
      <c r="E59" s="1"/>
      <c r="F59" s="1"/>
      <c r="G59" s="1"/>
      <c r="H59" s="1"/>
      <c r="I59" s="754">
        <v>12.0</v>
      </c>
      <c r="J59" s="754">
        <v>65.21203607</v>
      </c>
      <c r="K59" s="818">
        <v>0.6521203607</v>
      </c>
      <c r="L59" s="1"/>
      <c r="M59" s="1"/>
      <c r="N59" s="1"/>
      <c r="O59" s="1"/>
      <c r="P59" s="1"/>
      <c r="Q59" s="1"/>
      <c r="R59" s="1"/>
      <c r="S59" s="1"/>
      <c r="T59" s="1"/>
      <c r="U59" s="1"/>
      <c r="V59" s="1"/>
      <c r="W59" s="764" t="s">
        <v>533</v>
      </c>
      <c r="X59" s="764"/>
      <c r="Y59" s="1"/>
      <c r="Z59" s="1"/>
      <c r="AA59" s="1"/>
      <c r="AB59" s="1"/>
      <c r="AC59" s="1"/>
    </row>
    <row r="60" ht="14.25" customHeight="1">
      <c r="A60" s="1"/>
      <c r="B60" s="1"/>
      <c r="C60" s="1"/>
      <c r="D60" s="1"/>
      <c r="E60" s="1"/>
      <c r="F60" s="1"/>
      <c r="G60" s="1"/>
      <c r="H60" s="1"/>
      <c r="I60" s="754">
        <v>13.0</v>
      </c>
      <c r="J60" s="754">
        <v>62.92961481</v>
      </c>
      <c r="K60" s="818">
        <v>0.6292961481</v>
      </c>
      <c r="L60" s="1"/>
      <c r="M60" s="1"/>
      <c r="N60" s="1"/>
      <c r="O60" s="1"/>
      <c r="P60" s="1"/>
      <c r="Q60" s="1"/>
      <c r="R60" s="1"/>
      <c r="S60" s="1"/>
      <c r="T60" s="1"/>
      <c r="U60" s="1"/>
      <c r="V60" s="1"/>
      <c r="W60" s="764" t="s">
        <v>534</v>
      </c>
      <c r="X60" s="764"/>
      <c r="Y60" s="1"/>
      <c r="Z60" s="1"/>
      <c r="AA60" s="1"/>
      <c r="AB60" s="1"/>
      <c r="AC60" s="1"/>
    </row>
    <row r="61" ht="14.25" customHeight="1">
      <c r="A61" s="1"/>
      <c r="B61" s="1"/>
      <c r="C61" s="1"/>
      <c r="D61" s="1"/>
      <c r="E61" s="1"/>
      <c r="F61" s="1"/>
      <c r="G61" s="1"/>
      <c r="H61" s="1"/>
      <c r="I61" s="754">
        <v>14.0</v>
      </c>
      <c r="J61" s="754">
        <v>60.72707829</v>
      </c>
      <c r="K61" s="818">
        <v>0.6072707829</v>
      </c>
      <c r="L61" s="1"/>
      <c r="M61" s="1"/>
      <c r="N61" s="1"/>
      <c r="O61" s="1"/>
      <c r="P61" s="1"/>
      <c r="Q61" s="1"/>
      <c r="R61" s="1"/>
      <c r="S61" s="1"/>
      <c r="T61" s="1"/>
      <c r="U61" s="1"/>
      <c r="V61" s="1"/>
      <c r="W61" s="764" t="s">
        <v>535</v>
      </c>
      <c r="X61" s="764"/>
      <c r="Y61" s="1"/>
      <c r="Z61" s="1"/>
      <c r="AA61" s="1"/>
      <c r="AB61" s="1"/>
      <c r="AC61" s="1"/>
    </row>
    <row r="62" ht="14.25" customHeight="1">
      <c r="A62" s="1"/>
      <c r="B62" s="1"/>
      <c r="C62" s="1"/>
      <c r="D62" s="1"/>
      <c r="E62" s="1"/>
      <c r="F62" s="1"/>
      <c r="G62" s="1"/>
      <c r="H62" s="1"/>
      <c r="I62" s="754">
        <v>15.0</v>
      </c>
      <c r="J62" s="754">
        <v>58.60163055</v>
      </c>
      <c r="K62" s="818">
        <v>0.5860163055000001</v>
      </c>
      <c r="L62" s="1"/>
      <c r="M62" s="1"/>
      <c r="N62" s="1"/>
      <c r="O62" s="1"/>
      <c r="P62" s="1"/>
      <c r="Q62" s="1"/>
      <c r="R62" s="1"/>
      <c r="S62" s="1"/>
      <c r="T62" s="1"/>
      <c r="U62" s="1"/>
      <c r="V62" s="1"/>
      <c r="W62" s="764" t="s">
        <v>536</v>
      </c>
      <c r="X62" s="764"/>
      <c r="Y62" s="1"/>
      <c r="Z62" s="1"/>
      <c r="AA62" s="1"/>
      <c r="AB62" s="1"/>
      <c r="AC62" s="1"/>
    </row>
    <row r="63" ht="14.25" customHeight="1">
      <c r="A63" s="1"/>
      <c r="B63" s="1"/>
      <c r="C63" s="1"/>
      <c r="D63" s="1"/>
      <c r="E63" s="1"/>
      <c r="F63" s="1"/>
      <c r="G63" s="1"/>
      <c r="H63" s="1"/>
      <c r="I63" s="754">
        <v>16.0</v>
      </c>
      <c r="J63" s="754">
        <v>56.55057348</v>
      </c>
      <c r="K63" s="818">
        <v>0.5655057348</v>
      </c>
      <c r="L63" s="1"/>
      <c r="M63" s="1"/>
      <c r="N63" s="1"/>
      <c r="O63" s="1"/>
      <c r="P63" s="1"/>
      <c r="Q63" s="1"/>
      <c r="R63" s="1"/>
      <c r="S63" s="1"/>
      <c r="T63" s="1"/>
      <c r="U63" s="1"/>
      <c r="V63" s="1"/>
      <c r="W63" s="764" t="s">
        <v>537</v>
      </c>
      <c r="X63" s="764"/>
      <c r="Y63" s="1"/>
      <c r="Z63" s="1"/>
      <c r="AA63" s="1"/>
      <c r="AB63" s="1"/>
      <c r="AC63" s="1"/>
    </row>
    <row r="64" ht="14.25" customHeight="1">
      <c r="A64" s="1"/>
      <c r="B64" s="1"/>
      <c r="C64" s="1"/>
      <c r="D64" s="1"/>
      <c r="E64" s="1"/>
      <c r="F64" s="1"/>
      <c r="G64" s="1"/>
      <c r="H64" s="1"/>
      <c r="I64" s="754">
        <v>17.0</v>
      </c>
      <c r="J64" s="754">
        <v>54.57130341</v>
      </c>
      <c r="K64" s="818">
        <v>0.5457130340999999</v>
      </c>
      <c r="L64" s="1"/>
      <c r="M64" s="1"/>
      <c r="N64" s="1"/>
      <c r="O64" s="1"/>
      <c r="P64" s="1"/>
      <c r="Q64" s="1"/>
      <c r="R64" s="1"/>
      <c r="S64" s="1"/>
      <c r="T64" s="1"/>
      <c r="U64" s="1"/>
      <c r="V64" s="1"/>
      <c r="W64" s="764" t="s">
        <v>538</v>
      </c>
      <c r="X64" s="764"/>
      <c r="Y64" s="1"/>
      <c r="Z64" s="1"/>
      <c r="AA64" s="1"/>
      <c r="AB64" s="1"/>
      <c r="AC64" s="1"/>
    </row>
    <row r="65" ht="14.25" customHeight="1">
      <c r="A65" s="1"/>
      <c r="B65" s="1"/>
      <c r="C65" s="1"/>
      <c r="D65" s="1"/>
      <c r="E65" s="1"/>
      <c r="F65" s="1"/>
      <c r="G65" s="1"/>
      <c r="H65" s="1"/>
      <c r="I65" s="754">
        <v>18.0</v>
      </c>
      <c r="J65" s="754">
        <v>52.66130779</v>
      </c>
      <c r="K65" s="818">
        <v>0.5266130779</v>
      </c>
      <c r="L65" s="1"/>
      <c r="M65" s="1"/>
      <c r="N65" s="1"/>
      <c r="O65" s="1"/>
      <c r="P65" s="1"/>
      <c r="Q65" s="1"/>
      <c r="R65" s="1"/>
      <c r="S65" s="1"/>
      <c r="T65" s="1"/>
      <c r="U65" s="1"/>
      <c r="V65" s="1"/>
      <c r="W65" s="764" t="s">
        <v>539</v>
      </c>
      <c r="X65" s="764"/>
      <c r="Y65" s="1"/>
      <c r="Z65" s="1"/>
      <c r="AA65" s="1"/>
      <c r="AB65" s="1"/>
      <c r="AC65" s="1"/>
    </row>
    <row r="66" ht="14.25" customHeight="1">
      <c r="A66" s="1"/>
      <c r="B66" s="1"/>
      <c r="C66" s="1"/>
      <c r="D66" s="1"/>
      <c r="E66" s="1"/>
      <c r="F66" s="1"/>
      <c r="G66" s="1"/>
      <c r="H66" s="1"/>
      <c r="I66" s="754">
        <v>19.0</v>
      </c>
      <c r="J66" s="754">
        <v>50.81816202</v>
      </c>
      <c r="K66" s="818">
        <v>0.5081816202</v>
      </c>
      <c r="L66" s="1"/>
      <c r="M66" s="1"/>
      <c r="N66" s="1"/>
      <c r="O66" s="1"/>
      <c r="P66" s="1"/>
      <c r="Q66" s="1"/>
      <c r="R66" s="1"/>
      <c r="S66" s="1"/>
      <c r="T66" s="1"/>
      <c r="U66" s="1"/>
      <c r="V66" s="1"/>
      <c r="W66" s="764" t="s">
        <v>540</v>
      </c>
      <c r="X66" s="764"/>
      <c r="Y66" s="1"/>
      <c r="Z66" s="1"/>
      <c r="AA66" s="1"/>
      <c r="AB66" s="1"/>
      <c r="AC66" s="1"/>
    </row>
    <row r="67" ht="14.25" customHeight="1">
      <c r="A67" s="1"/>
      <c r="B67" s="1"/>
      <c r="C67" s="1"/>
      <c r="D67" s="1"/>
      <c r="E67" s="1"/>
      <c r="F67" s="1"/>
      <c r="G67" s="1"/>
      <c r="H67" s="1"/>
      <c r="I67" s="754">
        <v>20.0</v>
      </c>
      <c r="J67" s="754">
        <v>49.03952635</v>
      </c>
      <c r="K67" s="818">
        <v>0.4903952635</v>
      </c>
      <c r="L67" s="1"/>
      <c r="M67" s="1"/>
      <c r="N67" s="1"/>
      <c r="O67" s="1"/>
      <c r="P67" s="1"/>
      <c r="Q67" s="1"/>
      <c r="R67" s="1"/>
      <c r="S67" s="1"/>
      <c r="T67" s="1"/>
      <c r="U67" s="1"/>
      <c r="V67" s="1"/>
      <c r="W67" s="764" t="s">
        <v>541</v>
      </c>
      <c r="X67" s="764"/>
      <c r="Y67" s="1"/>
      <c r="Z67" s="1"/>
      <c r="AA67" s="1"/>
      <c r="AB67" s="1"/>
      <c r="AC67" s="1"/>
    </row>
    <row r="68" ht="14.25" customHeight="1">
      <c r="A68" s="1"/>
      <c r="B68" s="1"/>
      <c r="C68" s="1"/>
      <c r="D68" s="1"/>
      <c r="E68" s="1"/>
      <c r="F68" s="1"/>
      <c r="G68" s="1"/>
      <c r="H68" s="1"/>
      <c r="I68" s="754">
        <v>21.0</v>
      </c>
      <c r="J68" s="754">
        <v>47.32314293</v>
      </c>
      <c r="K68" s="818">
        <v>0.4732314293</v>
      </c>
      <c r="L68" s="1"/>
      <c r="M68" s="1"/>
      <c r="N68" s="1"/>
      <c r="O68" s="1"/>
      <c r="P68" s="1"/>
      <c r="Q68" s="1"/>
      <c r="R68" s="1"/>
      <c r="S68" s="1"/>
      <c r="T68" s="1"/>
      <c r="U68" s="1"/>
      <c r="V68" s="1"/>
      <c r="W68" s="764" t="s">
        <v>542</v>
      </c>
      <c r="X68" s="764"/>
      <c r="Y68" s="1"/>
      <c r="Z68" s="1"/>
      <c r="AA68" s="1"/>
      <c r="AB68" s="1"/>
      <c r="AC68" s="1"/>
    </row>
    <row r="69" ht="14.25" customHeight="1">
      <c r="A69" s="1"/>
      <c r="B69" s="1"/>
      <c r="C69" s="1"/>
      <c r="D69" s="1"/>
      <c r="E69" s="1"/>
      <c r="F69" s="1"/>
      <c r="G69" s="1"/>
      <c r="H69" s="1"/>
      <c r="I69" s="754">
        <v>22.0</v>
      </c>
      <c r="J69" s="754">
        <v>45.66683292</v>
      </c>
      <c r="K69" s="818">
        <v>0.4566683292</v>
      </c>
      <c r="L69" s="1"/>
      <c r="M69" s="1"/>
      <c r="N69" s="1"/>
      <c r="O69" s="1"/>
      <c r="P69" s="1"/>
      <c r="Q69" s="1"/>
      <c r="R69" s="1"/>
      <c r="S69" s="1"/>
      <c r="T69" s="1"/>
      <c r="U69" s="1"/>
      <c r="V69" s="1"/>
      <c r="W69" s="764" t="s">
        <v>543</v>
      </c>
      <c r="X69" s="764"/>
      <c r="Y69" s="1"/>
      <c r="Z69" s="1"/>
      <c r="AA69" s="1"/>
      <c r="AB69" s="1"/>
      <c r="AC69" s="1"/>
    </row>
    <row r="70" ht="14.25" customHeight="1">
      <c r="A70" s="1"/>
      <c r="B70" s="1"/>
      <c r="C70" s="1"/>
      <c r="D70" s="1"/>
      <c r="E70" s="1"/>
      <c r="F70" s="1"/>
      <c r="G70" s="1"/>
      <c r="H70" s="1"/>
      <c r="I70" s="754">
        <v>23.0</v>
      </c>
      <c r="J70" s="754">
        <v>44.06849377</v>
      </c>
      <c r="K70" s="818">
        <v>0.44068493770000006</v>
      </c>
      <c r="L70" s="1"/>
      <c r="M70" s="1"/>
      <c r="N70" s="1"/>
      <c r="O70" s="1"/>
      <c r="P70" s="1"/>
      <c r="Q70" s="1"/>
      <c r="R70" s="1"/>
      <c r="S70" s="1"/>
      <c r="T70" s="1"/>
      <c r="U70" s="1"/>
      <c r="V70" s="1"/>
      <c r="W70" s="764" t="s">
        <v>544</v>
      </c>
      <c r="X70" s="764"/>
      <c r="Y70" s="1"/>
      <c r="Z70" s="1"/>
      <c r="AA70" s="1"/>
      <c r="AB70" s="1"/>
      <c r="AC70" s="1"/>
    </row>
    <row r="71" ht="14.25" customHeight="1">
      <c r="A71" s="1"/>
      <c r="B71" s="1"/>
      <c r="C71" s="1"/>
      <c r="D71" s="1"/>
      <c r="E71" s="1"/>
      <c r="F71" s="1"/>
      <c r="G71" s="1"/>
      <c r="H71" s="1"/>
      <c r="I71" s="754">
        <v>24.0</v>
      </c>
      <c r="J71" s="754">
        <v>42.52609649</v>
      </c>
      <c r="K71" s="818">
        <v>0.4252609649</v>
      </c>
      <c r="L71" s="1"/>
      <c r="M71" s="1"/>
      <c r="N71" s="1"/>
      <c r="O71" s="1"/>
      <c r="P71" s="1"/>
      <c r="Q71" s="1"/>
      <c r="R71" s="1"/>
      <c r="S71" s="1"/>
      <c r="T71" s="1"/>
      <c r="U71" s="1"/>
      <c r="V71" s="1"/>
      <c r="W71" s="764" t="s">
        <v>545</v>
      </c>
      <c r="X71" s="764"/>
      <c r="Y71" s="1"/>
      <c r="Z71" s="1"/>
      <c r="AA71" s="1"/>
      <c r="AB71" s="1"/>
      <c r="AC71" s="1"/>
    </row>
    <row r="72" ht="14.25" customHeight="1">
      <c r="A72" s="1"/>
      <c r="B72" s="1"/>
      <c r="C72" s="1"/>
      <c r="D72" s="1"/>
      <c r="E72" s="1"/>
      <c r="F72" s="1"/>
      <c r="G72" s="1"/>
      <c r="H72" s="1"/>
      <c r="I72" s="754">
        <v>25.0</v>
      </c>
      <c r="J72" s="754">
        <v>41.03768311</v>
      </c>
      <c r="K72" s="818">
        <v>0.4103768311</v>
      </c>
      <c r="L72" s="1"/>
      <c r="M72" s="1"/>
      <c r="N72" s="1"/>
      <c r="O72" s="1"/>
      <c r="P72" s="1"/>
      <c r="Q72" s="1"/>
      <c r="R72" s="1"/>
      <c r="S72" s="1"/>
      <c r="T72" s="1"/>
      <c r="U72" s="1"/>
      <c r="V72" s="1"/>
      <c r="W72" s="764" t="s">
        <v>546</v>
      </c>
      <c r="X72" s="764"/>
      <c r="Y72" s="1"/>
      <c r="Z72" s="1"/>
      <c r="AA72" s="1"/>
      <c r="AB72" s="1"/>
      <c r="AC72" s="1"/>
    </row>
    <row r="73" ht="14.25" customHeight="1">
      <c r="A73" s="1"/>
      <c r="B73" s="1"/>
      <c r="C73" s="1"/>
      <c r="D73" s="1"/>
      <c r="E73" s="1"/>
      <c r="F73" s="1"/>
      <c r="G73" s="1"/>
      <c r="H73" s="1"/>
      <c r="I73" s="754">
        <v>26.0</v>
      </c>
      <c r="J73" s="754">
        <v>39.6013642</v>
      </c>
      <c r="K73" s="818">
        <v>0.396013642</v>
      </c>
      <c r="L73" s="1"/>
      <c r="M73" s="1"/>
      <c r="N73" s="1"/>
      <c r="O73" s="1"/>
      <c r="P73" s="1"/>
      <c r="Q73" s="1"/>
      <c r="R73" s="1"/>
      <c r="S73" s="1"/>
      <c r="T73" s="1"/>
      <c r="U73" s="1"/>
      <c r="V73" s="1"/>
      <c r="W73" s="764" t="s">
        <v>547</v>
      </c>
      <c r="X73" s="764"/>
      <c r="Y73" s="1"/>
      <c r="Z73" s="1"/>
      <c r="AA73" s="1"/>
      <c r="AB73" s="1"/>
      <c r="AC73" s="1"/>
    </row>
    <row r="74" ht="14.25" customHeight="1">
      <c r="A74" s="1"/>
      <c r="B74" s="1"/>
      <c r="C74" s="1"/>
      <c r="D74" s="1"/>
      <c r="E74" s="1"/>
      <c r="F74" s="1"/>
      <c r="G74" s="1"/>
      <c r="H74" s="1"/>
      <c r="I74" s="754">
        <v>27.0</v>
      </c>
      <c r="J74" s="754">
        <v>38.21531646</v>
      </c>
      <c r="K74" s="818">
        <v>0.3821531646</v>
      </c>
      <c r="L74" s="1"/>
      <c r="M74" s="1"/>
      <c r="N74" s="1"/>
      <c r="O74" s="1"/>
      <c r="P74" s="1"/>
      <c r="Q74" s="1"/>
      <c r="R74" s="1"/>
      <c r="S74" s="1"/>
      <c r="T74" s="1"/>
      <c r="U74" s="1"/>
      <c r="V74" s="1"/>
      <c r="W74" s="764" t="s">
        <v>548</v>
      </c>
      <c r="X74" s="764"/>
      <c r="Y74" s="1"/>
      <c r="Z74" s="1"/>
      <c r="AA74" s="1"/>
      <c r="AB74" s="1"/>
      <c r="AC74" s="1"/>
    </row>
    <row r="75" ht="14.25" customHeight="1">
      <c r="A75" s="1"/>
      <c r="B75" s="1"/>
      <c r="C75" s="1"/>
      <c r="D75" s="1"/>
      <c r="E75" s="1"/>
      <c r="F75" s="1"/>
      <c r="G75" s="1"/>
      <c r="H75" s="1"/>
      <c r="I75" s="754">
        <v>28.0</v>
      </c>
      <c r="J75" s="754">
        <v>36.87778038</v>
      </c>
      <c r="K75" s="818">
        <v>0.36877780379999997</v>
      </c>
      <c r="L75" s="1"/>
      <c r="M75" s="1"/>
      <c r="N75" s="1"/>
      <c r="O75" s="1"/>
      <c r="P75" s="1"/>
      <c r="Q75" s="1"/>
      <c r="R75" s="1"/>
      <c r="S75" s="1"/>
      <c r="T75" s="1"/>
      <c r="U75" s="1"/>
      <c r="V75" s="1"/>
      <c r="W75" s="764" t="s">
        <v>549</v>
      </c>
      <c r="X75" s="764"/>
      <c r="Y75" s="1"/>
      <c r="Z75" s="1"/>
      <c r="AA75" s="1"/>
      <c r="AB75" s="1"/>
      <c r="AC75" s="1"/>
    </row>
    <row r="76" ht="14.25" customHeight="1">
      <c r="A76" s="1"/>
      <c r="B76" s="1"/>
      <c r="C76" s="1"/>
      <c r="D76" s="1"/>
      <c r="E76" s="1"/>
      <c r="F76" s="1"/>
      <c r="G76" s="1"/>
      <c r="H76" s="1"/>
      <c r="I76" s="754">
        <v>29.0</v>
      </c>
      <c r="J76" s="754">
        <v>35.58705807</v>
      </c>
      <c r="K76" s="818">
        <v>0.3558705807</v>
      </c>
      <c r="L76" s="1"/>
      <c r="M76" s="1"/>
      <c r="N76" s="1"/>
      <c r="O76" s="1"/>
      <c r="P76" s="1"/>
      <c r="Q76" s="1"/>
      <c r="R76" s="1"/>
      <c r="S76" s="1"/>
      <c r="T76" s="1"/>
      <c r="U76" s="1"/>
      <c r="V76" s="1"/>
      <c r="W76" s="764" t="s">
        <v>550</v>
      </c>
      <c r="X76" s="764"/>
      <c r="Y76" s="1"/>
      <c r="Z76" s="1"/>
      <c r="AA76" s="1"/>
      <c r="AB76" s="1"/>
      <c r="AC76" s="1"/>
    </row>
    <row r="77" ht="14.25" customHeight="1">
      <c r="A77" s="1"/>
      <c r="B77" s="1"/>
      <c r="C77" s="1"/>
      <c r="D77" s="1"/>
      <c r="E77" s="1"/>
      <c r="F77" s="1"/>
      <c r="G77" s="1"/>
      <c r="H77" s="1"/>
      <c r="I77" s="754">
        <v>30.0</v>
      </c>
      <c r="J77" s="754">
        <v>34.34151104</v>
      </c>
      <c r="K77" s="818">
        <v>0.3434151104</v>
      </c>
      <c r="L77" s="1"/>
      <c r="M77" s="1"/>
      <c r="N77" s="1"/>
      <c r="O77" s="1"/>
      <c r="P77" s="1"/>
      <c r="Q77" s="1"/>
      <c r="R77" s="1"/>
      <c r="S77" s="1"/>
      <c r="T77" s="1"/>
      <c r="U77" s="1"/>
      <c r="V77" s="1"/>
      <c r="W77" s="764" t="s">
        <v>551</v>
      </c>
      <c r="X77" s="764"/>
      <c r="Y77" s="1"/>
      <c r="Z77" s="1"/>
      <c r="AA77" s="1"/>
      <c r="AB77" s="1"/>
      <c r="AC77" s="1"/>
    </row>
    <row r="78" ht="14.25" customHeight="1">
      <c r="A78" s="1"/>
      <c r="B78" s="1"/>
      <c r="C78" s="1"/>
      <c r="D78" s="1"/>
      <c r="E78" s="1"/>
      <c r="F78" s="1"/>
      <c r="G78" s="1"/>
      <c r="H78" s="1"/>
      <c r="I78" s="754">
        <v>31.0</v>
      </c>
      <c r="J78" s="754">
        <v>33.13955815</v>
      </c>
      <c r="K78" s="818">
        <v>0.3313955815</v>
      </c>
      <c r="L78" s="1"/>
      <c r="M78" s="1"/>
      <c r="N78" s="1"/>
      <c r="O78" s="1"/>
      <c r="P78" s="1"/>
      <c r="Q78" s="1"/>
      <c r="R78" s="1"/>
      <c r="S78" s="1"/>
      <c r="T78" s="1"/>
      <c r="U78" s="1"/>
      <c r="V78" s="1"/>
      <c r="W78" s="764" t="s">
        <v>552</v>
      </c>
      <c r="X78" s="764"/>
      <c r="Y78" s="1"/>
      <c r="Z78" s="1"/>
      <c r="AA78" s="1"/>
      <c r="AB78" s="1"/>
      <c r="AC78" s="1"/>
    </row>
    <row r="79" ht="14.25" customHeight="1">
      <c r="A79" s="1"/>
      <c r="B79" s="1"/>
      <c r="C79" s="1"/>
      <c r="D79" s="1"/>
      <c r="E79" s="1"/>
      <c r="F79" s="1"/>
      <c r="G79" s="1"/>
      <c r="H79" s="1"/>
      <c r="I79" s="754" t="s">
        <v>433</v>
      </c>
      <c r="J79" s="819">
        <v>31.97967361</v>
      </c>
      <c r="K79" s="818">
        <v>0.3197967361</v>
      </c>
      <c r="L79" s="1"/>
      <c r="M79" s="1"/>
      <c r="N79" s="1"/>
      <c r="O79" s="1"/>
      <c r="P79" s="1"/>
      <c r="Q79" s="1"/>
      <c r="R79" s="1"/>
      <c r="S79" s="1"/>
      <c r="T79" s="1"/>
      <c r="U79" s="1"/>
      <c r="V79" s="1"/>
      <c r="W79" s="764" t="s">
        <v>553</v>
      </c>
      <c r="X79" s="764"/>
      <c r="Y79" s="1"/>
      <c r="Z79" s="1"/>
      <c r="AA79" s="1"/>
      <c r="AB79" s="1"/>
      <c r="AC79" s="1"/>
    </row>
    <row r="80" ht="14.25" customHeight="1">
      <c r="A80" s="1"/>
      <c r="B80" s="1"/>
      <c r="C80" s="1"/>
      <c r="D80" s="1"/>
      <c r="E80" s="1"/>
      <c r="F80" s="1"/>
      <c r="G80" s="1"/>
      <c r="H80" s="1"/>
      <c r="I80" s="755" t="s">
        <v>416</v>
      </c>
      <c r="J80" s="755" t="s">
        <v>397</v>
      </c>
      <c r="K80" s="755" t="s">
        <v>397</v>
      </c>
      <c r="L80" s="1"/>
      <c r="M80" s="1"/>
      <c r="N80" s="1"/>
      <c r="O80" s="1"/>
      <c r="P80" s="1"/>
      <c r="Q80" s="1"/>
      <c r="R80" s="1"/>
      <c r="S80" s="1"/>
      <c r="T80" s="1"/>
      <c r="U80" s="1"/>
      <c r="V80" s="1"/>
      <c r="W80" s="764" t="s">
        <v>554</v>
      </c>
      <c r="X80" s="764"/>
      <c r="Y80" s="1"/>
      <c r="Z80" s="1"/>
      <c r="AA80" s="1"/>
      <c r="AB80" s="1"/>
      <c r="AC80" s="1"/>
    </row>
    <row r="81" ht="14.25" customHeight="1">
      <c r="A81" s="1"/>
      <c r="B81" s="1"/>
      <c r="C81" s="1"/>
      <c r="D81" s="1"/>
      <c r="E81" s="1"/>
      <c r="F81" s="1"/>
      <c r="G81" s="1"/>
      <c r="H81" s="1"/>
      <c r="I81" s="1"/>
      <c r="J81" s="1"/>
      <c r="K81" s="1"/>
      <c r="L81" s="1"/>
      <c r="M81" s="1"/>
      <c r="N81" s="1"/>
      <c r="O81" s="1"/>
      <c r="P81" s="1"/>
      <c r="Q81" s="1"/>
      <c r="R81" s="1"/>
      <c r="S81" s="1"/>
      <c r="T81" s="1"/>
      <c r="U81" s="1"/>
      <c r="V81" s="1"/>
      <c r="W81" s="764" t="s">
        <v>555</v>
      </c>
      <c r="X81" s="764"/>
      <c r="Y81" s="1"/>
      <c r="Z81" s="1"/>
      <c r="AA81" s="1"/>
      <c r="AB81" s="1"/>
      <c r="AC81" s="1"/>
    </row>
    <row r="82" ht="14.25" customHeight="1">
      <c r="A82" s="1"/>
      <c r="B82" s="1"/>
      <c r="C82" s="1"/>
      <c r="D82" s="1"/>
      <c r="E82" s="1"/>
      <c r="F82" s="1"/>
      <c r="G82" s="1"/>
      <c r="H82" s="1"/>
      <c r="I82" s="1"/>
      <c r="J82" s="1"/>
      <c r="K82" s="1"/>
      <c r="L82" s="1"/>
      <c r="M82" s="1"/>
      <c r="N82" s="1"/>
      <c r="O82" s="1"/>
      <c r="P82" s="1"/>
      <c r="Q82" s="1"/>
      <c r="R82" s="1"/>
      <c r="S82" s="1"/>
      <c r="T82" s="1"/>
      <c r="U82" s="1"/>
      <c r="V82" s="1"/>
      <c r="W82" s="764" t="s">
        <v>556</v>
      </c>
      <c r="X82" s="764"/>
      <c r="Y82" s="1"/>
      <c r="Z82" s="1"/>
      <c r="AA82" s="1"/>
      <c r="AB82" s="1"/>
      <c r="AC82" s="1"/>
    </row>
    <row r="83" ht="14.25" customHeight="1">
      <c r="A83" s="1"/>
      <c r="B83" s="1"/>
      <c r="C83" s="1"/>
      <c r="D83" s="1"/>
      <c r="E83" s="1"/>
      <c r="F83" s="1"/>
      <c r="G83" s="1"/>
      <c r="H83" s="1"/>
      <c r="I83" s="1"/>
      <c r="J83" s="1"/>
      <c r="K83" s="1"/>
      <c r="L83" s="1"/>
      <c r="M83" s="1"/>
      <c r="N83" s="1"/>
      <c r="O83" s="1"/>
      <c r="P83" s="1"/>
      <c r="Q83" s="1"/>
      <c r="R83" s="1"/>
      <c r="S83" s="1"/>
      <c r="T83" s="1"/>
      <c r="U83" s="1"/>
      <c r="V83" s="1"/>
      <c r="W83" s="764" t="s">
        <v>557</v>
      </c>
      <c r="X83" s="764"/>
      <c r="Y83" s="1"/>
      <c r="Z83" s="1"/>
      <c r="AA83" s="1"/>
      <c r="AB83" s="1"/>
      <c r="AC83" s="1"/>
    </row>
    <row r="84" ht="14.25" customHeight="1">
      <c r="A84" s="1"/>
      <c r="B84" s="1"/>
      <c r="C84" s="1"/>
      <c r="D84" s="1"/>
      <c r="E84" s="1"/>
      <c r="F84" s="1"/>
      <c r="G84" s="1"/>
      <c r="H84" s="1"/>
      <c r="I84" s="1"/>
      <c r="J84" s="1"/>
      <c r="K84" s="1"/>
      <c r="L84" s="1"/>
      <c r="M84" s="1"/>
      <c r="N84" s="1"/>
      <c r="O84" s="1"/>
      <c r="P84" s="1"/>
      <c r="Q84" s="1"/>
      <c r="R84" s="1"/>
      <c r="S84" s="1"/>
      <c r="T84" s="1"/>
      <c r="U84" s="1"/>
      <c r="V84" s="1"/>
      <c r="W84" s="764" t="s">
        <v>558</v>
      </c>
      <c r="X84" s="764"/>
      <c r="Y84" s="1"/>
      <c r="Z84" s="1"/>
      <c r="AA84" s="1"/>
      <c r="AB84" s="1"/>
      <c r="AC84" s="1"/>
    </row>
    <row r="85" ht="14.25" customHeight="1">
      <c r="A85" s="1"/>
      <c r="B85" s="1"/>
      <c r="C85" s="1"/>
      <c r="D85" s="1"/>
      <c r="E85" s="1"/>
      <c r="F85" s="1"/>
      <c r="G85" s="1"/>
      <c r="H85" s="1"/>
      <c r="I85" s="1"/>
      <c r="J85" s="1"/>
      <c r="K85" s="1"/>
      <c r="L85" s="1"/>
      <c r="M85" s="1"/>
      <c r="N85" s="1"/>
      <c r="O85" s="1"/>
      <c r="P85" s="1"/>
      <c r="Q85" s="1"/>
      <c r="R85" s="1"/>
      <c r="S85" s="1"/>
      <c r="T85" s="1"/>
      <c r="U85" s="1"/>
      <c r="V85" s="1"/>
      <c r="W85" s="764" t="s">
        <v>559</v>
      </c>
      <c r="X85" s="764"/>
      <c r="Y85" s="1"/>
      <c r="Z85" s="1"/>
      <c r="AA85" s="1"/>
      <c r="AB85" s="1"/>
      <c r="AC85" s="1"/>
    </row>
    <row r="86" ht="14.25" customHeight="1">
      <c r="A86" s="1"/>
      <c r="B86" s="1"/>
      <c r="C86" s="1"/>
      <c r="D86" s="1"/>
      <c r="E86" s="1"/>
      <c r="F86" s="1"/>
      <c r="G86" s="1"/>
      <c r="H86" s="1"/>
      <c r="I86" s="1"/>
      <c r="J86" s="1"/>
      <c r="K86" s="1"/>
      <c r="L86" s="1"/>
      <c r="M86" s="1"/>
      <c r="N86" s="1"/>
      <c r="O86" s="1"/>
      <c r="P86" s="1"/>
      <c r="Q86" s="1"/>
      <c r="R86" s="1"/>
      <c r="S86" s="1"/>
      <c r="T86" s="1"/>
      <c r="U86" s="1"/>
      <c r="V86" s="1"/>
      <c r="W86" s="764" t="s">
        <v>560</v>
      </c>
      <c r="X86" s="764"/>
      <c r="Y86" s="1"/>
      <c r="Z86" s="1"/>
      <c r="AA86" s="1"/>
      <c r="AB86" s="1"/>
      <c r="AC86" s="1"/>
    </row>
    <row r="87" ht="14.25" customHeight="1">
      <c r="A87" s="1"/>
      <c r="B87" s="1"/>
      <c r="C87" s="1"/>
      <c r="D87" s="1"/>
      <c r="E87" s="1"/>
      <c r="F87" s="1"/>
      <c r="G87" s="1"/>
      <c r="H87" s="1"/>
      <c r="I87" s="1"/>
      <c r="J87" s="1"/>
      <c r="K87" s="1"/>
      <c r="L87" s="1"/>
      <c r="M87" s="1"/>
      <c r="N87" s="1"/>
      <c r="O87" s="1"/>
      <c r="P87" s="1"/>
      <c r="Q87" s="1"/>
      <c r="R87" s="1"/>
      <c r="S87" s="1"/>
      <c r="T87" s="1"/>
      <c r="U87" s="1"/>
      <c r="V87" s="1"/>
      <c r="W87" s="764" t="s">
        <v>561</v>
      </c>
      <c r="X87" s="764"/>
      <c r="Y87" s="1"/>
      <c r="Z87" s="1"/>
      <c r="AA87" s="1"/>
      <c r="AB87" s="1"/>
      <c r="AC87" s="1"/>
    </row>
    <row r="88" ht="14.25" customHeight="1">
      <c r="A88" s="1"/>
      <c r="B88" s="1"/>
      <c r="C88" s="1"/>
      <c r="D88" s="1"/>
      <c r="E88" s="1"/>
      <c r="F88" s="1"/>
      <c r="G88" s="1"/>
      <c r="H88" s="1"/>
      <c r="I88" s="1"/>
      <c r="J88" s="1"/>
      <c r="K88" s="1"/>
      <c r="L88" s="1"/>
      <c r="M88" s="1"/>
      <c r="N88" s="1"/>
      <c r="O88" s="1"/>
      <c r="P88" s="1"/>
      <c r="Q88" s="1"/>
      <c r="R88" s="1"/>
      <c r="S88" s="1"/>
      <c r="T88" s="1"/>
      <c r="U88" s="1"/>
      <c r="V88" s="1"/>
      <c r="W88" s="764" t="s">
        <v>562</v>
      </c>
      <c r="X88" s="764"/>
      <c r="Y88" s="1"/>
      <c r="Z88" s="1"/>
      <c r="AA88" s="1"/>
      <c r="AB88" s="1"/>
      <c r="AC88" s="1"/>
    </row>
    <row r="89" ht="14.25" customHeight="1">
      <c r="A89" s="1"/>
      <c r="B89" s="1"/>
      <c r="C89" s="1"/>
      <c r="D89" s="1"/>
      <c r="E89" s="1"/>
      <c r="F89" s="1"/>
      <c r="G89" s="1"/>
      <c r="H89" s="1"/>
      <c r="I89" s="1"/>
      <c r="J89" s="1"/>
      <c r="K89" s="1"/>
      <c r="L89" s="1"/>
      <c r="M89" s="1"/>
      <c r="N89" s="1"/>
      <c r="O89" s="1"/>
      <c r="P89" s="1"/>
      <c r="Q89" s="1"/>
      <c r="R89" s="1"/>
      <c r="S89" s="1"/>
      <c r="T89" s="1"/>
      <c r="U89" s="1"/>
      <c r="V89" s="1"/>
      <c r="W89" s="764" t="s">
        <v>563</v>
      </c>
      <c r="X89" s="764"/>
      <c r="Y89" s="1"/>
      <c r="Z89" s="1"/>
      <c r="AA89" s="1"/>
      <c r="AB89" s="1"/>
      <c r="AC89" s="1"/>
    </row>
    <row r="90" ht="14.25" customHeight="1">
      <c r="A90" s="1"/>
      <c r="B90" s="1"/>
      <c r="C90" s="1"/>
      <c r="D90" s="1"/>
      <c r="E90" s="1"/>
      <c r="F90" s="1"/>
      <c r="G90" s="1"/>
      <c r="H90" s="1"/>
      <c r="I90" s="1"/>
      <c r="J90" s="1"/>
      <c r="K90" s="1"/>
      <c r="L90" s="1"/>
      <c r="M90" s="1"/>
      <c r="N90" s="1"/>
      <c r="O90" s="1"/>
      <c r="P90" s="1"/>
      <c r="Q90" s="1"/>
      <c r="R90" s="1"/>
      <c r="S90" s="1"/>
      <c r="T90" s="1"/>
      <c r="U90" s="1"/>
      <c r="V90" s="1"/>
      <c r="W90" s="764" t="s">
        <v>564</v>
      </c>
      <c r="X90" s="764"/>
      <c r="Y90" s="1"/>
      <c r="Z90" s="1"/>
      <c r="AA90" s="1"/>
      <c r="AB90" s="1"/>
      <c r="AC90" s="1"/>
    </row>
    <row r="91" ht="14.25" customHeight="1">
      <c r="A91" s="1"/>
      <c r="B91" s="1"/>
      <c r="C91" s="1"/>
      <c r="D91" s="1"/>
      <c r="E91" s="1"/>
      <c r="F91" s="1"/>
      <c r="G91" s="1"/>
      <c r="H91" s="1"/>
      <c r="I91" s="1"/>
      <c r="J91" s="1"/>
      <c r="K91" s="1"/>
      <c r="L91" s="1"/>
      <c r="M91" s="1"/>
      <c r="N91" s="1"/>
      <c r="O91" s="1"/>
      <c r="P91" s="1"/>
      <c r="Q91" s="1"/>
      <c r="R91" s="1"/>
      <c r="S91" s="1"/>
      <c r="T91" s="1"/>
      <c r="U91" s="1"/>
      <c r="V91" s="1"/>
      <c r="W91" s="764" t="s">
        <v>565</v>
      </c>
      <c r="X91" s="764"/>
      <c r="Y91" s="1"/>
      <c r="Z91" s="1"/>
      <c r="AA91" s="1"/>
      <c r="AB91" s="1"/>
      <c r="AC91" s="1"/>
    </row>
    <row r="92" ht="14.25" customHeight="1">
      <c r="A92" s="1"/>
      <c r="B92" s="1"/>
      <c r="C92" s="1"/>
      <c r="D92" s="1"/>
      <c r="E92" s="1"/>
      <c r="F92" s="1"/>
      <c r="G92" s="1"/>
      <c r="H92" s="1"/>
      <c r="I92" s="1"/>
      <c r="J92" s="1"/>
      <c r="K92" s="1"/>
      <c r="L92" s="1"/>
      <c r="M92" s="1"/>
      <c r="N92" s="1"/>
      <c r="O92" s="1"/>
      <c r="P92" s="1"/>
      <c r="Q92" s="1"/>
      <c r="R92" s="1"/>
      <c r="S92" s="1"/>
      <c r="T92" s="1"/>
      <c r="U92" s="1"/>
      <c r="V92" s="1"/>
      <c r="W92" s="764" t="s">
        <v>566</v>
      </c>
      <c r="X92" s="764"/>
      <c r="Y92" s="1"/>
      <c r="Z92" s="1"/>
      <c r="AA92" s="1"/>
      <c r="AB92" s="1"/>
      <c r="AC92" s="1"/>
    </row>
    <row r="93" ht="14.25" customHeight="1">
      <c r="A93" s="1"/>
      <c r="B93" s="1"/>
      <c r="C93" s="1"/>
      <c r="D93" s="1"/>
      <c r="E93" s="1"/>
      <c r="F93" s="1"/>
      <c r="G93" s="1"/>
      <c r="H93" s="1"/>
      <c r="I93" s="1"/>
      <c r="J93" s="1"/>
      <c r="K93" s="1"/>
      <c r="L93" s="1"/>
      <c r="M93" s="1"/>
      <c r="N93" s="1"/>
      <c r="O93" s="1"/>
      <c r="P93" s="1"/>
      <c r="Q93" s="1"/>
      <c r="R93" s="1"/>
      <c r="S93" s="1"/>
      <c r="T93" s="1"/>
      <c r="U93" s="1"/>
      <c r="V93" s="1"/>
      <c r="W93" s="764" t="s">
        <v>567</v>
      </c>
      <c r="X93" s="764"/>
      <c r="Y93" s="1"/>
      <c r="Z93" s="1"/>
      <c r="AA93" s="1"/>
      <c r="AB93" s="1"/>
      <c r="AC93" s="1"/>
    </row>
    <row r="94" ht="14.25" customHeight="1">
      <c r="A94" s="1"/>
      <c r="B94" s="1"/>
      <c r="C94" s="1"/>
      <c r="D94" s="1"/>
      <c r="E94" s="1"/>
      <c r="F94" s="1"/>
      <c r="G94" s="1"/>
      <c r="H94" s="1"/>
      <c r="I94" s="1"/>
      <c r="J94" s="1"/>
      <c r="K94" s="1"/>
      <c r="L94" s="1"/>
      <c r="M94" s="1"/>
      <c r="N94" s="1"/>
      <c r="O94" s="1"/>
      <c r="P94" s="1"/>
      <c r="Q94" s="1"/>
      <c r="R94" s="1"/>
      <c r="S94" s="1"/>
      <c r="T94" s="1"/>
      <c r="U94" s="1"/>
      <c r="V94" s="1"/>
      <c r="W94" s="764" t="s">
        <v>568</v>
      </c>
      <c r="X94" s="764"/>
      <c r="Y94" s="1"/>
      <c r="Z94" s="1"/>
      <c r="AA94" s="1"/>
      <c r="AB94" s="1"/>
      <c r="AC94" s="1"/>
    </row>
    <row r="95" ht="14.25" customHeight="1">
      <c r="A95" s="1"/>
      <c r="B95" s="1"/>
      <c r="C95" s="1"/>
      <c r="D95" s="1"/>
      <c r="E95" s="1"/>
      <c r="F95" s="1"/>
      <c r="G95" s="1"/>
      <c r="H95" s="1"/>
      <c r="I95" s="1"/>
      <c r="J95" s="1"/>
      <c r="K95" s="1"/>
      <c r="L95" s="1"/>
      <c r="M95" s="1"/>
      <c r="N95" s="1"/>
      <c r="O95" s="1"/>
      <c r="P95" s="1"/>
      <c r="Q95" s="1"/>
      <c r="R95" s="1"/>
      <c r="S95" s="1"/>
      <c r="T95" s="1"/>
      <c r="U95" s="1"/>
      <c r="V95" s="1"/>
      <c r="W95" s="764" t="s">
        <v>569</v>
      </c>
      <c r="X95" s="764"/>
      <c r="Y95" s="1"/>
      <c r="Z95" s="1"/>
      <c r="AA95" s="1"/>
      <c r="AB95" s="1"/>
      <c r="AC95" s="1"/>
    </row>
    <row r="96" ht="14.25" customHeight="1">
      <c r="A96" s="1"/>
      <c r="B96" s="1"/>
      <c r="C96" s="1"/>
      <c r="D96" s="1"/>
      <c r="E96" s="1"/>
      <c r="F96" s="1"/>
      <c r="G96" s="1"/>
      <c r="H96" s="1"/>
      <c r="I96" s="1"/>
      <c r="J96" s="1"/>
      <c r="K96" s="1"/>
      <c r="L96" s="1"/>
      <c r="M96" s="1"/>
      <c r="N96" s="1"/>
      <c r="O96" s="1"/>
      <c r="P96" s="1"/>
      <c r="Q96" s="1"/>
      <c r="R96" s="1"/>
      <c r="S96" s="1"/>
      <c r="T96" s="1"/>
      <c r="U96" s="1"/>
      <c r="V96" s="1"/>
      <c r="W96" s="764" t="s">
        <v>570</v>
      </c>
      <c r="X96" s="764"/>
      <c r="Y96" s="1"/>
      <c r="Z96" s="1"/>
      <c r="AA96" s="1"/>
      <c r="AB96" s="1"/>
      <c r="AC96" s="1"/>
    </row>
    <row r="97" ht="14.25" customHeight="1">
      <c r="A97" s="1"/>
      <c r="B97" s="1"/>
      <c r="C97" s="1"/>
      <c r="D97" s="1"/>
      <c r="E97" s="1"/>
      <c r="F97" s="1"/>
      <c r="G97" s="1"/>
      <c r="H97" s="1"/>
      <c r="I97" s="1"/>
      <c r="J97" s="1"/>
      <c r="K97" s="1"/>
      <c r="L97" s="1"/>
      <c r="M97" s="1"/>
      <c r="N97" s="1"/>
      <c r="O97" s="1"/>
      <c r="P97" s="1"/>
      <c r="Q97" s="1"/>
      <c r="R97" s="1"/>
      <c r="S97" s="1"/>
      <c r="T97" s="1"/>
      <c r="U97" s="1"/>
      <c r="V97" s="1"/>
      <c r="W97" s="764" t="s">
        <v>571</v>
      </c>
      <c r="X97" s="764"/>
      <c r="Y97" s="1"/>
      <c r="Z97" s="1"/>
      <c r="AA97" s="1"/>
      <c r="AB97" s="1"/>
      <c r="AC97" s="1"/>
    </row>
    <row r="98" ht="14.25" customHeight="1">
      <c r="A98" s="1"/>
      <c r="B98" s="1"/>
      <c r="C98" s="1"/>
      <c r="D98" s="1"/>
      <c r="E98" s="1"/>
      <c r="F98" s="1"/>
      <c r="G98" s="1"/>
      <c r="H98" s="1"/>
      <c r="I98" s="1"/>
      <c r="J98" s="1"/>
      <c r="K98" s="1"/>
      <c r="L98" s="1"/>
      <c r="M98" s="1"/>
      <c r="N98" s="1"/>
      <c r="O98" s="1"/>
      <c r="P98" s="1"/>
      <c r="Q98" s="1"/>
      <c r="R98" s="1"/>
      <c r="S98" s="1"/>
      <c r="T98" s="1"/>
      <c r="U98" s="1"/>
      <c r="V98" s="1"/>
      <c r="W98" s="764" t="s">
        <v>572</v>
      </c>
      <c r="X98" s="764"/>
      <c r="Y98" s="1"/>
      <c r="Z98" s="1"/>
      <c r="AA98" s="1"/>
      <c r="AB98" s="1"/>
      <c r="AC98" s="1"/>
    </row>
    <row r="99" ht="14.25" customHeight="1">
      <c r="A99" s="1"/>
      <c r="B99" s="1"/>
      <c r="C99" s="1"/>
      <c r="D99" s="1"/>
      <c r="E99" s="1"/>
      <c r="F99" s="1"/>
      <c r="G99" s="1"/>
      <c r="H99" s="1"/>
      <c r="I99" s="1"/>
      <c r="J99" s="1"/>
      <c r="K99" s="1"/>
      <c r="L99" s="1"/>
      <c r="M99" s="1"/>
      <c r="N99" s="1"/>
      <c r="O99" s="1"/>
      <c r="P99" s="1"/>
      <c r="Q99" s="1"/>
      <c r="R99" s="1"/>
      <c r="S99" s="1"/>
      <c r="T99" s="1"/>
      <c r="U99" s="1"/>
      <c r="V99" s="1"/>
      <c r="W99" s="764" t="s">
        <v>573</v>
      </c>
      <c r="X99" s="764"/>
      <c r="Y99" s="1"/>
      <c r="Z99" s="1"/>
      <c r="AA99" s="1"/>
      <c r="AB99" s="1"/>
      <c r="AC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764" t="s">
        <v>574</v>
      </c>
      <c r="X100" s="764"/>
      <c r="Y100" s="1"/>
      <c r="Z100" s="1"/>
      <c r="AA100" s="1"/>
      <c r="AB100" s="1"/>
      <c r="AC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764" t="s">
        <v>575</v>
      </c>
      <c r="X101" s="764"/>
      <c r="Y101" s="1"/>
      <c r="Z101" s="1"/>
      <c r="AA101" s="1"/>
      <c r="AB101" s="1"/>
      <c r="AC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764" t="s">
        <v>576</v>
      </c>
      <c r="X102" s="764"/>
      <c r="Y102" s="1"/>
      <c r="Z102" s="1"/>
      <c r="AA102" s="1"/>
      <c r="AB102" s="1"/>
      <c r="AC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764" t="s">
        <v>577</v>
      </c>
      <c r="X103" s="764"/>
      <c r="Y103" s="1"/>
      <c r="Z103" s="1"/>
      <c r="AA103" s="1"/>
      <c r="AB103" s="1"/>
      <c r="AC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764" t="s">
        <v>578</v>
      </c>
      <c r="X104" s="764"/>
      <c r="Y104" s="1"/>
      <c r="Z104" s="1"/>
      <c r="AA104" s="1"/>
      <c r="AB104" s="1"/>
      <c r="AC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764" t="s">
        <v>579</v>
      </c>
      <c r="X105" s="764"/>
      <c r="Y105" s="1"/>
      <c r="Z105" s="1"/>
      <c r="AA105" s="1"/>
      <c r="AB105" s="1"/>
      <c r="AC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764" t="s">
        <v>580</v>
      </c>
      <c r="X106" s="764"/>
      <c r="Y106" s="1"/>
      <c r="Z106" s="1"/>
      <c r="AA106" s="1"/>
      <c r="AB106" s="1"/>
      <c r="AC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764" t="s">
        <v>581</v>
      </c>
      <c r="X107" s="764"/>
      <c r="Y107" s="1"/>
      <c r="Z107" s="1"/>
      <c r="AA107" s="1"/>
      <c r="AB107" s="1"/>
      <c r="AC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764" t="s">
        <v>582</v>
      </c>
      <c r="X108" s="764"/>
      <c r="Y108" s="1"/>
      <c r="Z108" s="1"/>
      <c r="AA108" s="1"/>
      <c r="AB108" s="1"/>
      <c r="AC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764" t="s">
        <v>583</v>
      </c>
      <c r="X109" s="764"/>
      <c r="Y109" s="1"/>
      <c r="Z109" s="1"/>
      <c r="AA109" s="1"/>
      <c r="AB109" s="1"/>
      <c r="AC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764" t="s">
        <v>584</v>
      </c>
      <c r="X110" s="764"/>
      <c r="Y110" s="1"/>
      <c r="Z110" s="1"/>
      <c r="AA110" s="1"/>
      <c r="AB110" s="1"/>
      <c r="AC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764" t="s">
        <v>585</v>
      </c>
      <c r="X111" s="764"/>
      <c r="Y111" s="1"/>
      <c r="Z111" s="1"/>
      <c r="AA111" s="1"/>
      <c r="AB111" s="1"/>
      <c r="AC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764" t="s">
        <v>586</v>
      </c>
      <c r="X112" s="764"/>
      <c r="Y112" s="1"/>
      <c r="Z112" s="1"/>
      <c r="AA112" s="1"/>
      <c r="AB112" s="1"/>
      <c r="AC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764" t="s">
        <v>587</v>
      </c>
      <c r="X113" s="764"/>
      <c r="Y113" s="1"/>
      <c r="Z113" s="1"/>
      <c r="AA113" s="1"/>
      <c r="AB113" s="1"/>
      <c r="AC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764" t="s">
        <v>588</v>
      </c>
      <c r="X114" s="764"/>
      <c r="Y114" s="1"/>
      <c r="Z114" s="1"/>
      <c r="AA114" s="1"/>
      <c r="AB114" s="1"/>
      <c r="AC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764" t="s">
        <v>589</v>
      </c>
      <c r="X115" s="764"/>
      <c r="Y115" s="1"/>
      <c r="Z115" s="1"/>
      <c r="AA115" s="1"/>
      <c r="AB115" s="1"/>
      <c r="AC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764" t="s">
        <v>590</v>
      </c>
      <c r="X116" s="764"/>
      <c r="Y116" s="1"/>
      <c r="Z116" s="1"/>
      <c r="AA116" s="1"/>
      <c r="AB116" s="1"/>
      <c r="AC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764" t="s">
        <v>591</v>
      </c>
      <c r="X117" s="764"/>
      <c r="Y117" s="1"/>
      <c r="Z117" s="1"/>
      <c r="AA117" s="1"/>
      <c r="AB117" s="1"/>
      <c r="AC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764" t="s">
        <v>592</v>
      </c>
      <c r="X118" s="764"/>
      <c r="Y118" s="1"/>
      <c r="Z118" s="1"/>
      <c r="AA118" s="1"/>
      <c r="AB118" s="1"/>
      <c r="AC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764" t="s">
        <v>593</v>
      </c>
      <c r="X119" s="764"/>
      <c r="Y119" s="1"/>
      <c r="Z119" s="1"/>
      <c r="AA119" s="1"/>
      <c r="AB119" s="1"/>
      <c r="AC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764" t="s">
        <v>594</v>
      </c>
      <c r="X120" s="764"/>
      <c r="Y120" s="1"/>
      <c r="Z120" s="1"/>
      <c r="AA120" s="1"/>
      <c r="AB120" s="1"/>
      <c r="AC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764" t="s">
        <v>595</v>
      </c>
      <c r="X121" s="764"/>
      <c r="Y121" s="1"/>
      <c r="Z121" s="1"/>
      <c r="AA121" s="1"/>
      <c r="AB121" s="1"/>
      <c r="AC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764" t="s">
        <v>596</v>
      </c>
      <c r="X122" s="764"/>
      <c r="Y122" s="1"/>
      <c r="Z122" s="1"/>
      <c r="AA122" s="1"/>
      <c r="AB122" s="1"/>
      <c r="AC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764" t="s">
        <v>597</v>
      </c>
      <c r="X123" s="764"/>
      <c r="Y123" s="1"/>
      <c r="Z123" s="1"/>
      <c r="AA123" s="1"/>
      <c r="AB123" s="1"/>
      <c r="AC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764" t="s">
        <v>598</v>
      </c>
      <c r="X124" s="764"/>
      <c r="Y124" s="1"/>
      <c r="Z124" s="1"/>
      <c r="AA124" s="1"/>
      <c r="AB124" s="1"/>
      <c r="AC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764" t="s">
        <v>599</v>
      </c>
      <c r="X125" s="764"/>
      <c r="Y125" s="1"/>
      <c r="Z125" s="1"/>
      <c r="AA125" s="1"/>
      <c r="AB125" s="1"/>
      <c r="AC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764" t="s">
        <v>600</v>
      </c>
      <c r="X126" s="764"/>
      <c r="Y126" s="1"/>
      <c r="Z126" s="1"/>
      <c r="AA126" s="1"/>
      <c r="AB126" s="1"/>
      <c r="AC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764" t="s">
        <v>601</v>
      </c>
      <c r="X127" s="764"/>
      <c r="Y127" s="1"/>
      <c r="Z127" s="1"/>
      <c r="AA127" s="1"/>
      <c r="AB127" s="1"/>
      <c r="AC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764" t="s">
        <v>602</v>
      </c>
      <c r="X128" s="764"/>
      <c r="Y128" s="1"/>
      <c r="Z128" s="1"/>
      <c r="AA128" s="1"/>
      <c r="AB128" s="1"/>
      <c r="AC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764" t="s">
        <v>603</v>
      </c>
      <c r="X129" s="764"/>
      <c r="Y129" s="1"/>
      <c r="Z129" s="1"/>
      <c r="AA129" s="1"/>
      <c r="AB129" s="1"/>
      <c r="AC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764" t="s">
        <v>604</v>
      </c>
      <c r="X130" s="764"/>
      <c r="Y130" s="1"/>
      <c r="Z130" s="1"/>
      <c r="AA130" s="1"/>
      <c r="AB130" s="1"/>
      <c r="AC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764" t="s">
        <v>605</v>
      </c>
      <c r="X131" s="764"/>
      <c r="Y131" s="1"/>
      <c r="Z131" s="1"/>
      <c r="AA131" s="1"/>
      <c r="AB131" s="1"/>
      <c r="AC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764" t="s">
        <v>606</v>
      </c>
      <c r="X132" s="764"/>
      <c r="Y132" s="1"/>
      <c r="Z132" s="1"/>
      <c r="AA132" s="1"/>
      <c r="AB132" s="1"/>
      <c r="AC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764" t="s">
        <v>607</v>
      </c>
      <c r="X133" s="764"/>
      <c r="Y133" s="1"/>
      <c r="Z133" s="1"/>
      <c r="AA133" s="1"/>
      <c r="AB133" s="1"/>
      <c r="AC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764" t="s">
        <v>608</v>
      </c>
      <c r="X134" s="764"/>
      <c r="Y134" s="1"/>
      <c r="Z134" s="1"/>
      <c r="AA134" s="1"/>
      <c r="AB134" s="1"/>
      <c r="AC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764" t="s">
        <v>609</v>
      </c>
      <c r="X135" s="764"/>
      <c r="Y135" s="1"/>
      <c r="Z135" s="1"/>
      <c r="AA135" s="1"/>
      <c r="AB135" s="1"/>
      <c r="AC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764" t="s">
        <v>610</v>
      </c>
      <c r="X136" s="764"/>
      <c r="Y136" s="1"/>
      <c r="Z136" s="1"/>
      <c r="AA136" s="1"/>
      <c r="AB136" s="1"/>
      <c r="AC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764" t="s">
        <v>611</v>
      </c>
      <c r="X137" s="764"/>
      <c r="Y137" s="1"/>
      <c r="Z137" s="1"/>
      <c r="AA137" s="1"/>
      <c r="AB137" s="1"/>
      <c r="AC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764" t="s">
        <v>612</v>
      </c>
      <c r="X138" s="764"/>
      <c r="Y138" s="1"/>
      <c r="Z138" s="1"/>
      <c r="AA138" s="1"/>
      <c r="AB138" s="1"/>
      <c r="AC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764" t="s">
        <v>613</v>
      </c>
      <c r="X139" s="764"/>
      <c r="Y139" s="1"/>
      <c r="Z139" s="1"/>
      <c r="AA139" s="1"/>
      <c r="AB139" s="1"/>
      <c r="AC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764" t="s">
        <v>614</v>
      </c>
      <c r="X140" s="764"/>
      <c r="Y140" s="1"/>
      <c r="Z140" s="1"/>
      <c r="AA140" s="1"/>
      <c r="AB140" s="1"/>
      <c r="AC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764" t="s">
        <v>615</v>
      </c>
      <c r="X141" s="764"/>
      <c r="Y141" s="1"/>
      <c r="Z141" s="1"/>
      <c r="AA141" s="1"/>
      <c r="AB141" s="1"/>
      <c r="AC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764" t="s">
        <v>616</v>
      </c>
      <c r="X142" s="764"/>
      <c r="Y142" s="1"/>
      <c r="Z142" s="1"/>
      <c r="AA142" s="1"/>
      <c r="AB142" s="1"/>
      <c r="AC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764" t="s">
        <v>617</v>
      </c>
      <c r="X143" s="764"/>
      <c r="Y143" s="1"/>
      <c r="Z143" s="1"/>
      <c r="AA143" s="1"/>
      <c r="AB143" s="1"/>
      <c r="AC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764" t="s">
        <v>618</v>
      </c>
      <c r="X144" s="764"/>
      <c r="Y144" s="1"/>
      <c r="Z144" s="1"/>
      <c r="AA144" s="1"/>
      <c r="AB144" s="1"/>
      <c r="AC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764" t="s">
        <v>619</v>
      </c>
      <c r="X145" s="764"/>
      <c r="Y145" s="1"/>
      <c r="Z145" s="1"/>
      <c r="AA145" s="1"/>
      <c r="AB145" s="1"/>
      <c r="AC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764" t="s">
        <v>620</v>
      </c>
      <c r="X146" s="764"/>
      <c r="Y146" s="1"/>
      <c r="Z146" s="1"/>
      <c r="AA146" s="1"/>
      <c r="AB146" s="1"/>
      <c r="AC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764" t="s">
        <v>621</v>
      </c>
      <c r="X147" s="764"/>
      <c r="Y147" s="1"/>
      <c r="Z147" s="1"/>
      <c r="AA147" s="1"/>
      <c r="AB147" s="1"/>
      <c r="AC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764" t="s">
        <v>622</v>
      </c>
      <c r="X148" s="764"/>
      <c r="Y148" s="1"/>
      <c r="Z148" s="1"/>
      <c r="AA148" s="1"/>
      <c r="AB148" s="1"/>
      <c r="AC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764" t="s">
        <v>623</v>
      </c>
      <c r="X149" s="764"/>
      <c r="Y149" s="1"/>
      <c r="Z149" s="1"/>
      <c r="AA149" s="1"/>
      <c r="AB149" s="1"/>
      <c r="AC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764" t="s">
        <v>624</v>
      </c>
      <c r="X150" s="764"/>
      <c r="Y150" s="1"/>
      <c r="Z150" s="1"/>
      <c r="AA150" s="1"/>
      <c r="AB150" s="1"/>
      <c r="AC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764" t="s">
        <v>625</v>
      </c>
      <c r="X151" s="764"/>
      <c r="Y151" s="1"/>
      <c r="Z151" s="1"/>
      <c r="AA151" s="1"/>
      <c r="AB151" s="1"/>
      <c r="AC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764" t="s">
        <v>626</v>
      </c>
      <c r="X152" s="764"/>
      <c r="Y152" s="1"/>
      <c r="Z152" s="1"/>
      <c r="AA152" s="1"/>
      <c r="AB152" s="1"/>
      <c r="AC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764" t="s">
        <v>627</v>
      </c>
      <c r="X153" s="764"/>
      <c r="Y153" s="1"/>
      <c r="Z153" s="1"/>
      <c r="AA153" s="1"/>
      <c r="AB153" s="1"/>
      <c r="AC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764" t="s">
        <v>628</v>
      </c>
      <c r="X154" s="764"/>
      <c r="Y154" s="1"/>
      <c r="Z154" s="1"/>
      <c r="AA154" s="1"/>
      <c r="AB154" s="1"/>
      <c r="AC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764" t="s">
        <v>629</v>
      </c>
      <c r="X155" s="764"/>
      <c r="Y155" s="1"/>
      <c r="Z155" s="1"/>
      <c r="AA155" s="1"/>
      <c r="AB155" s="1"/>
      <c r="AC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764" t="s">
        <v>630</v>
      </c>
      <c r="X156" s="764"/>
      <c r="Y156" s="1"/>
      <c r="Z156" s="1"/>
      <c r="AA156" s="1"/>
      <c r="AB156" s="1"/>
      <c r="AC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764" t="s">
        <v>631</v>
      </c>
      <c r="X157" s="764"/>
      <c r="Y157" s="1"/>
      <c r="Z157" s="1"/>
      <c r="AA157" s="1"/>
      <c r="AB157" s="1"/>
      <c r="AC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764" t="s">
        <v>632</v>
      </c>
      <c r="X158" s="764"/>
      <c r="Y158" s="1"/>
      <c r="Z158" s="1"/>
      <c r="AA158" s="1"/>
      <c r="AB158" s="1"/>
      <c r="AC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764" t="s">
        <v>633</v>
      </c>
      <c r="X159" s="764"/>
      <c r="Y159" s="1"/>
      <c r="Z159" s="1"/>
      <c r="AA159" s="1"/>
      <c r="AB159" s="1"/>
      <c r="AC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764" t="s">
        <v>634</v>
      </c>
      <c r="X160" s="764"/>
      <c r="Y160" s="1"/>
      <c r="Z160" s="1"/>
      <c r="AA160" s="1"/>
      <c r="AB160" s="1"/>
      <c r="AC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764" t="s">
        <v>635</v>
      </c>
      <c r="X161" s="764"/>
      <c r="Y161" s="1"/>
      <c r="Z161" s="1"/>
      <c r="AA161" s="1"/>
      <c r="AB161" s="1"/>
      <c r="AC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764" t="s">
        <v>636</v>
      </c>
      <c r="X162" s="764"/>
      <c r="Y162" s="1"/>
      <c r="Z162" s="1"/>
      <c r="AA162" s="1"/>
      <c r="AB162" s="1"/>
      <c r="AC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764" t="s">
        <v>637</v>
      </c>
      <c r="X163" s="764"/>
      <c r="Y163" s="1"/>
      <c r="Z163" s="1"/>
      <c r="AA163" s="1"/>
      <c r="AB163" s="1"/>
      <c r="AC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764" t="s">
        <v>638</v>
      </c>
      <c r="X164" s="764"/>
      <c r="Y164" s="1"/>
      <c r="Z164" s="1"/>
      <c r="AA164" s="1"/>
      <c r="AB164" s="1"/>
      <c r="AC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764" t="s">
        <v>639</v>
      </c>
      <c r="X165" s="764"/>
      <c r="Y165" s="1"/>
      <c r="Z165" s="1"/>
      <c r="AA165" s="1"/>
      <c r="AB165" s="1"/>
      <c r="AC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764" t="s">
        <v>640</v>
      </c>
      <c r="X166" s="764"/>
      <c r="Y166" s="1"/>
      <c r="Z166" s="1"/>
      <c r="AA166" s="1"/>
      <c r="AB166" s="1"/>
      <c r="AC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764" t="s">
        <v>641</v>
      </c>
      <c r="X167" s="764"/>
      <c r="Y167" s="1"/>
      <c r="Z167" s="1"/>
      <c r="AA167" s="1"/>
      <c r="AB167" s="1"/>
      <c r="AC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764" t="s">
        <v>642</v>
      </c>
      <c r="X168" s="764"/>
      <c r="Y168" s="1"/>
      <c r="Z168" s="1"/>
      <c r="AA168" s="1"/>
      <c r="AB168" s="1"/>
      <c r="AC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764" t="s">
        <v>643</v>
      </c>
      <c r="X169" s="764"/>
      <c r="Y169" s="1"/>
      <c r="Z169" s="1"/>
      <c r="AA169" s="1"/>
      <c r="AB169" s="1"/>
      <c r="AC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764" t="s">
        <v>644</v>
      </c>
      <c r="X170" s="764"/>
      <c r="Y170" s="1"/>
      <c r="Z170" s="1"/>
      <c r="AA170" s="1"/>
      <c r="AB170" s="1"/>
      <c r="AC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764" t="s">
        <v>645</v>
      </c>
      <c r="X171" s="764"/>
      <c r="Y171" s="1"/>
      <c r="Z171" s="1"/>
      <c r="AA171" s="1"/>
      <c r="AB171" s="1"/>
      <c r="AC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764" t="s">
        <v>646</v>
      </c>
      <c r="X172" s="764"/>
      <c r="Y172" s="1"/>
      <c r="Z172" s="1"/>
      <c r="AA172" s="1"/>
      <c r="AB172" s="1"/>
      <c r="AC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764" t="s">
        <v>647</v>
      </c>
      <c r="X173" s="764"/>
      <c r="Y173" s="1"/>
      <c r="Z173" s="1"/>
      <c r="AA173" s="1"/>
      <c r="AB173" s="1"/>
      <c r="AC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764" t="s">
        <v>648</v>
      </c>
      <c r="X174" s="764"/>
      <c r="Y174" s="1"/>
      <c r="Z174" s="1"/>
      <c r="AA174" s="1"/>
      <c r="AB174" s="1"/>
      <c r="AC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764" t="s">
        <v>649</v>
      </c>
      <c r="X175" s="764"/>
      <c r="Y175" s="1"/>
      <c r="Z175" s="1"/>
      <c r="AA175" s="1"/>
      <c r="AB175" s="1"/>
      <c r="AC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764" t="s">
        <v>650</v>
      </c>
      <c r="X176" s="764"/>
      <c r="Y176" s="1"/>
      <c r="Z176" s="1"/>
      <c r="AA176" s="1"/>
      <c r="AB176" s="1"/>
      <c r="AC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764" t="s">
        <v>651</v>
      </c>
      <c r="X177" s="764"/>
      <c r="Y177" s="1"/>
      <c r="Z177" s="1"/>
      <c r="AA177" s="1"/>
      <c r="AB177" s="1"/>
      <c r="AC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764" t="s">
        <v>652</v>
      </c>
      <c r="X178" s="764"/>
      <c r="Y178" s="1"/>
      <c r="Z178" s="1"/>
      <c r="AA178" s="1"/>
      <c r="AB178" s="1"/>
      <c r="AC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764" t="s">
        <v>653</v>
      </c>
      <c r="X179" s="764"/>
      <c r="Y179" s="1"/>
      <c r="Z179" s="1"/>
      <c r="AA179" s="1"/>
      <c r="AB179" s="1"/>
      <c r="AC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764" t="s">
        <v>654</v>
      </c>
      <c r="X180" s="764"/>
      <c r="Y180" s="1"/>
      <c r="Z180" s="1"/>
      <c r="AA180" s="1"/>
      <c r="AB180" s="1"/>
      <c r="AC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764" t="s">
        <v>655</v>
      </c>
      <c r="X181" s="764"/>
      <c r="Y181" s="1"/>
      <c r="Z181" s="1"/>
      <c r="AA181" s="1"/>
      <c r="AB181" s="1"/>
      <c r="AC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764" t="s">
        <v>656</v>
      </c>
      <c r="X182" s="764"/>
      <c r="Y182" s="1"/>
      <c r="Z182" s="1"/>
      <c r="AA182" s="1"/>
      <c r="AB182" s="1"/>
      <c r="AC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764" t="s">
        <v>657</v>
      </c>
      <c r="X183" s="764"/>
      <c r="Y183" s="1"/>
      <c r="Z183" s="1"/>
      <c r="AA183" s="1"/>
      <c r="AB183" s="1"/>
      <c r="AC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764" t="s">
        <v>658</v>
      </c>
      <c r="X184" s="764"/>
      <c r="Y184" s="1"/>
      <c r="Z184" s="1"/>
      <c r="AA184" s="1"/>
      <c r="AB184" s="1"/>
      <c r="AC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764" t="s">
        <v>659</v>
      </c>
      <c r="X185" s="764"/>
      <c r="Y185" s="1"/>
      <c r="Z185" s="1"/>
      <c r="AA185" s="1"/>
      <c r="AB185" s="1"/>
      <c r="AC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764" t="s">
        <v>660</v>
      </c>
      <c r="X186" s="764"/>
      <c r="Y186" s="1"/>
      <c r="Z186" s="1"/>
      <c r="AA186" s="1"/>
      <c r="AB186" s="1"/>
      <c r="AC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764" t="s">
        <v>661</v>
      </c>
      <c r="X187" s="764"/>
      <c r="Y187" s="1"/>
      <c r="Z187" s="1"/>
      <c r="AA187" s="1"/>
      <c r="AB187" s="1"/>
      <c r="AC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764" t="s">
        <v>662</v>
      </c>
      <c r="X188" s="764"/>
      <c r="Y188" s="1"/>
      <c r="Z188" s="1"/>
      <c r="AA188" s="1"/>
      <c r="AB188" s="1"/>
      <c r="AC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764" t="s">
        <v>663</v>
      </c>
      <c r="X189" s="764"/>
      <c r="Y189" s="1"/>
      <c r="Z189" s="1"/>
      <c r="AA189" s="1"/>
      <c r="AB189" s="1"/>
      <c r="AC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764" t="s">
        <v>664</v>
      </c>
      <c r="X190" s="764"/>
      <c r="Y190" s="1"/>
      <c r="Z190" s="1"/>
      <c r="AA190" s="1"/>
      <c r="AB190" s="1"/>
      <c r="AC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764" t="s">
        <v>665</v>
      </c>
      <c r="X191" s="764"/>
      <c r="Y191" s="1"/>
      <c r="Z191" s="1"/>
      <c r="AA191" s="1"/>
      <c r="AB191" s="1"/>
      <c r="AC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764" t="s">
        <v>666</v>
      </c>
      <c r="X192" s="764"/>
      <c r="Y192" s="1"/>
      <c r="Z192" s="1"/>
      <c r="AA192" s="1"/>
      <c r="AB192" s="1"/>
      <c r="AC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764" t="s">
        <v>667</v>
      </c>
      <c r="X193" s="764"/>
      <c r="Y193" s="1"/>
      <c r="Z193" s="1"/>
      <c r="AA193" s="1"/>
      <c r="AB193" s="1"/>
      <c r="AC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764" t="s">
        <v>668</v>
      </c>
      <c r="X194" s="764"/>
      <c r="Y194" s="1"/>
      <c r="Z194" s="1"/>
      <c r="AA194" s="1"/>
      <c r="AB194" s="1"/>
      <c r="AC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764" t="s">
        <v>669</v>
      </c>
      <c r="X195" s="764"/>
      <c r="Y195" s="1"/>
      <c r="Z195" s="1"/>
      <c r="AA195" s="1"/>
      <c r="AB195" s="1"/>
      <c r="AC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764" t="s">
        <v>670</v>
      </c>
      <c r="X196" s="764"/>
      <c r="Y196" s="1"/>
      <c r="Z196" s="1"/>
      <c r="AA196" s="1"/>
      <c r="AB196" s="1"/>
      <c r="AC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764" t="s">
        <v>671</v>
      </c>
      <c r="X197" s="764"/>
      <c r="Y197" s="1"/>
      <c r="Z197" s="1"/>
      <c r="AA197" s="1"/>
      <c r="AB197" s="1"/>
      <c r="AC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764" t="s">
        <v>672</v>
      </c>
      <c r="X198" s="764"/>
      <c r="Y198" s="1"/>
      <c r="Z198" s="1"/>
      <c r="AA198" s="1"/>
      <c r="AB198" s="1"/>
      <c r="AC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764" t="s">
        <v>673</v>
      </c>
      <c r="X199" s="764"/>
      <c r="Y199" s="1"/>
      <c r="Z199" s="1"/>
      <c r="AA199" s="1"/>
      <c r="AB199" s="1"/>
      <c r="AC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764" t="s">
        <v>674</v>
      </c>
      <c r="X200" s="764"/>
      <c r="Y200" s="1"/>
      <c r="Z200" s="1"/>
      <c r="AA200" s="1"/>
      <c r="AB200" s="1"/>
      <c r="AC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764" t="s">
        <v>675</v>
      </c>
      <c r="X201" s="764"/>
      <c r="Y201" s="1"/>
      <c r="Z201" s="1"/>
      <c r="AA201" s="1"/>
      <c r="AB201" s="1"/>
      <c r="AC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764" t="s">
        <v>676</v>
      </c>
      <c r="X202" s="764"/>
      <c r="Y202" s="1"/>
      <c r="Z202" s="1"/>
      <c r="AA202" s="1"/>
      <c r="AB202" s="1"/>
      <c r="AC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764" t="s">
        <v>677</v>
      </c>
      <c r="X203" s="764"/>
      <c r="Y203" s="1"/>
      <c r="Z203" s="1"/>
      <c r="AA203" s="1"/>
      <c r="AB203" s="1"/>
      <c r="AC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764" t="s">
        <v>678</v>
      </c>
      <c r="X204" s="764"/>
      <c r="Y204" s="1"/>
      <c r="Z204" s="1"/>
      <c r="AA204" s="1"/>
      <c r="AB204" s="1"/>
      <c r="AC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764" t="s">
        <v>679</v>
      </c>
      <c r="X205" s="764"/>
      <c r="Y205" s="1"/>
      <c r="Z205" s="1"/>
      <c r="AA205" s="1"/>
      <c r="AB205" s="1"/>
      <c r="AC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764" t="s">
        <v>680</v>
      </c>
      <c r="X206" s="764"/>
      <c r="Y206" s="1"/>
      <c r="Z206" s="1"/>
      <c r="AA206" s="1"/>
      <c r="AB206" s="1"/>
      <c r="AC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764" t="s">
        <v>681</v>
      </c>
      <c r="X207" s="764"/>
      <c r="Y207" s="1"/>
      <c r="Z207" s="1"/>
      <c r="AA207" s="1"/>
      <c r="AB207" s="1"/>
      <c r="AC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764" t="s">
        <v>682</v>
      </c>
      <c r="X208" s="764"/>
      <c r="Y208" s="1"/>
      <c r="Z208" s="1"/>
      <c r="AA208" s="1"/>
      <c r="AB208" s="1"/>
      <c r="AC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764" t="s">
        <v>683</v>
      </c>
      <c r="X209" s="764"/>
      <c r="Y209" s="1"/>
      <c r="Z209" s="1"/>
      <c r="AA209" s="1"/>
      <c r="AB209" s="1"/>
      <c r="AC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764" t="s">
        <v>684</v>
      </c>
      <c r="X210" s="764"/>
      <c r="Y210" s="1"/>
      <c r="Z210" s="1"/>
      <c r="AA210" s="1"/>
      <c r="AB210" s="1"/>
      <c r="AC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764" t="s">
        <v>685</v>
      </c>
      <c r="X211" s="764"/>
      <c r="Y211" s="1"/>
      <c r="Z211" s="1"/>
      <c r="AA211" s="1"/>
      <c r="AB211" s="1"/>
      <c r="AC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764" t="s">
        <v>686</v>
      </c>
      <c r="X212" s="764"/>
      <c r="Y212" s="1"/>
      <c r="Z212" s="1"/>
      <c r="AA212" s="1"/>
      <c r="AB212" s="1"/>
      <c r="AC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764" t="s">
        <v>687</v>
      </c>
      <c r="X213" s="764"/>
      <c r="Y213" s="1"/>
      <c r="Z213" s="1"/>
      <c r="AA213" s="1"/>
      <c r="AB213" s="1"/>
      <c r="AC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764" t="s">
        <v>688</v>
      </c>
      <c r="X214" s="764"/>
      <c r="Y214" s="1"/>
      <c r="Z214" s="1"/>
      <c r="AA214" s="1"/>
      <c r="AB214" s="1"/>
      <c r="AC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764" t="s">
        <v>689</v>
      </c>
      <c r="X215" s="764"/>
      <c r="Y215" s="1"/>
      <c r="Z215" s="1"/>
      <c r="AA215" s="1"/>
      <c r="AB215" s="1"/>
      <c r="AC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764" t="s">
        <v>690</v>
      </c>
      <c r="X216" s="764"/>
      <c r="Y216" s="1"/>
      <c r="Z216" s="1"/>
      <c r="AA216" s="1"/>
      <c r="AB216" s="1"/>
      <c r="AC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764" t="s">
        <v>691</v>
      </c>
      <c r="X217" s="764"/>
      <c r="Y217" s="1"/>
      <c r="Z217" s="1"/>
      <c r="AA217" s="1"/>
      <c r="AB217" s="1"/>
      <c r="AC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764" t="s">
        <v>692</v>
      </c>
      <c r="X218" s="764"/>
      <c r="Y218" s="1"/>
      <c r="Z218" s="1"/>
      <c r="AA218" s="1"/>
      <c r="AB218" s="1"/>
      <c r="AC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764" t="s">
        <v>693</v>
      </c>
      <c r="X219" s="764"/>
      <c r="Y219" s="1"/>
      <c r="Z219" s="1"/>
      <c r="AA219" s="1"/>
      <c r="AB219" s="1"/>
      <c r="AC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764" t="s">
        <v>694</v>
      </c>
      <c r="X220" s="764"/>
      <c r="Y220" s="1"/>
      <c r="Z220" s="1"/>
      <c r="AA220" s="1"/>
      <c r="AB220" s="1"/>
      <c r="AC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764" t="s">
        <v>695</v>
      </c>
      <c r="X221" s="764"/>
      <c r="Y221" s="1"/>
      <c r="Z221" s="1"/>
      <c r="AA221" s="1"/>
      <c r="AB221" s="1"/>
      <c r="AC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764" t="s">
        <v>696</v>
      </c>
      <c r="X222" s="764"/>
      <c r="Y222" s="1"/>
      <c r="Z222" s="1"/>
      <c r="AA222" s="1"/>
      <c r="AB222" s="1"/>
      <c r="AC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764" t="s">
        <v>697</v>
      </c>
      <c r="X223" s="764"/>
      <c r="Y223" s="1"/>
      <c r="Z223" s="1"/>
      <c r="AA223" s="1"/>
      <c r="AB223" s="1"/>
      <c r="AC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764" t="s">
        <v>698</v>
      </c>
      <c r="X224" s="764"/>
      <c r="Y224" s="1"/>
      <c r="Z224" s="1"/>
      <c r="AA224" s="1"/>
      <c r="AB224" s="1"/>
      <c r="AC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764" t="s">
        <v>699</v>
      </c>
      <c r="X225" s="764"/>
      <c r="Y225" s="1"/>
      <c r="Z225" s="1"/>
      <c r="AA225" s="1"/>
      <c r="AB225" s="1"/>
      <c r="AC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764" t="s">
        <v>700</v>
      </c>
      <c r="X226" s="764"/>
      <c r="Y226" s="1"/>
      <c r="Z226" s="1"/>
      <c r="AA226" s="1"/>
      <c r="AB226" s="1"/>
      <c r="AC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764" t="s">
        <v>701</v>
      </c>
      <c r="X227" s="764"/>
      <c r="Y227" s="1"/>
      <c r="Z227" s="1"/>
      <c r="AA227" s="1"/>
      <c r="AB227" s="1"/>
      <c r="AC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764" t="s">
        <v>702</v>
      </c>
      <c r="X228" s="764"/>
      <c r="Y228" s="1"/>
      <c r="Z228" s="1"/>
      <c r="AA228" s="1"/>
      <c r="AB228" s="1"/>
      <c r="AC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764" t="s">
        <v>703</v>
      </c>
      <c r="X229" s="764"/>
      <c r="Y229" s="1"/>
      <c r="Z229" s="1"/>
      <c r="AA229" s="1"/>
      <c r="AB229" s="1"/>
      <c r="AC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764" t="s">
        <v>704</v>
      </c>
      <c r="X230" s="764"/>
      <c r="Y230" s="1"/>
      <c r="Z230" s="1"/>
      <c r="AA230" s="1"/>
      <c r="AB230" s="1"/>
      <c r="AC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764" t="s">
        <v>705</v>
      </c>
      <c r="X231" s="764"/>
      <c r="Y231" s="1"/>
      <c r="Z231" s="1"/>
      <c r="AA231" s="1"/>
      <c r="AB231" s="1"/>
      <c r="AC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764" t="s">
        <v>706</v>
      </c>
      <c r="X232" s="764"/>
      <c r="Y232" s="1"/>
      <c r="Z232" s="1"/>
      <c r="AA232" s="1"/>
      <c r="AB232" s="1"/>
      <c r="AC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764" t="s">
        <v>707</v>
      </c>
      <c r="X233" s="764"/>
      <c r="Y233" s="1"/>
      <c r="Z233" s="1"/>
      <c r="AA233" s="1"/>
      <c r="AB233" s="1"/>
      <c r="AC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764" t="s">
        <v>708</v>
      </c>
      <c r="X234" s="764"/>
      <c r="Y234" s="1"/>
      <c r="Z234" s="1"/>
      <c r="AA234" s="1"/>
      <c r="AB234" s="1"/>
      <c r="AC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764" t="s">
        <v>709</v>
      </c>
      <c r="X235" s="764"/>
      <c r="Y235" s="1"/>
      <c r="Z235" s="1"/>
      <c r="AA235" s="1"/>
      <c r="AB235" s="1"/>
      <c r="AC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764" t="s">
        <v>710</v>
      </c>
      <c r="X236" s="764"/>
      <c r="Y236" s="1"/>
      <c r="Z236" s="1"/>
      <c r="AA236" s="1"/>
      <c r="AB236" s="1"/>
      <c r="AC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764" t="s">
        <v>711</v>
      </c>
      <c r="X237" s="764"/>
      <c r="Y237" s="1"/>
      <c r="Z237" s="1"/>
      <c r="AA237" s="1"/>
      <c r="AB237" s="1"/>
      <c r="AC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764" t="s">
        <v>712</v>
      </c>
      <c r="X238" s="764"/>
      <c r="Y238" s="1"/>
      <c r="Z238" s="1"/>
      <c r="AA238" s="1"/>
      <c r="AB238" s="1"/>
      <c r="AC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764" t="s">
        <v>713</v>
      </c>
      <c r="X239" s="764"/>
      <c r="Y239" s="1"/>
      <c r="Z239" s="1"/>
      <c r="AA239" s="1"/>
      <c r="AB239" s="1"/>
      <c r="AC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764" t="s">
        <v>714</v>
      </c>
      <c r="X240" s="764"/>
      <c r="Y240" s="1"/>
      <c r="Z240" s="1"/>
      <c r="AA240" s="1"/>
      <c r="AB240" s="1"/>
      <c r="AC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764" t="s">
        <v>715</v>
      </c>
      <c r="X241" s="764"/>
      <c r="Y241" s="1"/>
      <c r="Z241" s="1"/>
      <c r="AA241" s="1"/>
      <c r="AB241" s="1"/>
      <c r="AC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764" t="s">
        <v>716</v>
      </c>
      <c r="X242" s="764"/>
      <c r="Y242" s="1"/>
      <c r="Z242" s="1"/>
      <c r="AA242" s="1"/>
      <c r="AB242" s="1"/>
      <c r="AC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764" t="s">
        <v>717</v>
      </c>
      <c r="X243" s="764"/>
      <c r="Y243" s="1"/>
      <c r="Z243" s="1"/>
      <c r="AA243" s="1"/>
      <c r="AB243" s="1"/>
      <c r="AC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764" t="s">
        <v>718</v>
      </c>
      <c r="X244" s="764"/>
      <c r="Y244" s="1"/>
      <c r="Z244" s="1"/>
      <c r="AA244" s="1"/>
      <c r="AB244" s="1"/>
      <c r="AC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764" t="s">
        <v>719</v>
      </c>
      <c r="X245" s="764"/>
      <c r="Y245" s="1"/>
      <c r="Z245" s="1"/>
      <c r="AA245" s="1"/>
      <c r="AB245" s="1"/>
      <c r="AC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764" t="s">
        <v>720</v>
      </c>
      <c r="X246" s="764"/>
      <c r="Y246" s="1"/>
      <c r="Z246" s="1"/>
      <c r="AA246" s="1"/>
      <c r="AB246" s="1"/>
      <c r="AC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764" t="s">
        <v>721</v>
      </c>
      <c r="X247" s="764"/>
      <c r="Y247" s="1"/>
      <c r="Z247" s="1"/>
      <c r="AA247" s="1"/>
      <c r="AB247" s="1"/>
      <c r="AC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764" t="s">
        <v>722</v>
      </c>
      <c r="X248" s="764"/>
      <c r="Y248" s="1"/>
      <c r="Z248" s="1"/>
      <c r="AA248" s="1"/>
      <c r="AB248" s="1"/>
      <c r="AC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764" t="s">
        <v>723</v>
      </c>
      <c r="X249" s="764"/>
      <c r="Y249" s="1"/>
      <c r="Z249" s="1"/>
      <c r="AA249" s="1"/>
      <c r="AB249" s="1"/>
      <c r="AC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764" t="s">
        <v>724</v>
      </c>
      <c r="X250" s="764"/>
      <c r="Y250" s="1"/>
      <c r="Z250" s="1"/>
      <c r="AA250" s="1"/>
      <c r="AB250" s="1"/>
      <c r="AC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764" t="s">
        <v>725</v>
      </c>
      <c r="X251" s="764"/>
      <c r="Y251" s="1"/>
      <c r="Z251" s="1"/>
      <c r="AA251" s="1"/>
      <c r="AB251" s="1"/>
      <c r="AC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764" t="s">
        <v>726</v>
      </c>
      <c r="X252" s="764"/>
      <c r="Y252" s="1"/>
      <c r="Z252" s="1"/>
      <c r="AA252" s="1"/>
      <c r="AB252" s="1"/>
      <c r="AC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764" t="s">
        <v>727</v>
      </c>
      <c r="X253" s="764"/>
      <c r="Y253" s="1"/>
      <c r="Z253" s="1"/>
      <c r="AA253" s="1"/>
      <c r="AB253" s="1"/>
      <c r="AC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764" t="s">
        <v>728</v>
      </c>
      <c r="X254" s="764"/>
      <c r="Y254" s="1"/>
      <c r="Z254" s="1"/>
      <c r="AA254" s="1"/>
      <c r="AB254" s="1"/>
      <c r="AC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764" t="s">
        <v>729</v>
      </c>
      <c r="X255" s="764"/>
      <c r="Y255" s="1"/>
      <c r="Z255" s="1"/>
      <c r="AA255" s="1"/>
      <c r="AB255" s="1"/>
      <c r="AC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764" t="s">
        <v>730</v>
      </c>
      <c r="X256" s="764"/>
      <c r="Y256" s="1"/>
      <c r="Z256" s="1"/>
      <c r="AA256" s="1"/>
      <c r="AB256" s="1"/>
      <c r="AC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764" t="s">
        <v>731</v>
      </c>
      <c r="X257" s="764"/>
      <c r="Y257" s="1"/>
      <c r="Z257" s="1"/>
      <c r="AA257" s="1"/>
      <c r="AB257" s="1"/>
      <c r="AC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764" t="s">
        <v>732</v>
      </c>
      <c r="X258" s="764"/>
      <c r="Y258" s="1"/>
      <c r="Z258" s="1"/>
      <c r="AA258" s="1"/>
      <c r="AB258" s="1"/>
      <c r="AC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764" t="s">
        <v>733</v>
      </c>
      <c r="X259" s="764"/>
      <c r="Y259" s="1"/>
      <c r="Z259" s="1"/>
      <c r="AA259" s="1"/>
      <c r="AB259" s="1"/>
      <c r="AC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764" t="s">
        <v>734</v>
      </c>
      <c r="X260" s="764"/>
      <c r="Y260" s="1"/>
      <c r="Z260" s="1"/>
      <c r="AA260" s="1"/>
      <c r="AB260" s="1"/>
      <c r="AC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764" t="s">
        <v>735</v>
      </c>
      <c r="X261" s="764"/>
      <c r="Y261" s="1"/>
      <c r="Z261" s="1"/>
      <c r="AA261" s="1"/>
      <c r="AB261" s="1"/>
      <c r="AC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764" t="s">
        <v>736</v>
      </c>
      <c r="X262" s="764"/>
      <c r="Y262" s="1"/>
      <c r="Z262" s="1"/>
      <c r="AA262" s="1"/>
      <c r="AB262" s="1"/>
      <c r="AC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764" t="s">
        <v>737</v>
      </c>
      <c r="X263" s="764"/>
      <c r="Y263" s="1"/>
      <c r="Z263" s="1"/>
      <c r="AA263" s="1"/>
      <c r="AB263" s="1"/>
      <c r="AC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764" t="s">
        <v>738</v>
      </c>
      <c r="X264" s="764"/>
      <c r="Y264" s="1"/>
      <c r="Z264" s="1"/>
      <c r="AA264" s="1"/>
      <c r="AB264" s="1"/>
      <c r="AC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764" t="s">
        <v>739</v>
      </c>
      <c r="X265" s="764"/>
      <c r="Y265" s="1"/>
      <c r="Z265" s="1"/>
      <c r="AA265" s="1"/>
      <c r="AB265" s="1"/>
      <c r="AC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764" t="s">
        <v>740</v>
      </c>
      <c r="X266" s="764"/>
      <c r="Y266" s="1"/>
      <c r="Z266" s="1"/>
      <c r="AA266" s="1"/>
      <c r="AB266" s="1"/>
      <c r="AC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764" t="s">
        <v>741</v>
      </c>
      <c r="X267" s="764"/>
      <c r="Y267" s="1"/>
      <c r="Z267" s="1"/>
      <c r="AA267" s="1"/>
      <c r="AB267" s="1"/>
      <c r="AC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764" t="s">
        <v>742</v>
      </c>
      <c r="X268" s="764"/>
      <c r="Y268" s="1"/>
      <c r="Z268" s="1"/>
      <c r="AA268" s="1"/>
      <c r="AB268" s="1"/>
      <c r="AC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764" t="s">
        <v>743</v>
      </c>
      <c r="X269" s="764"/>
      <c r="Y269" s="1"/>
      <c r="Z269" s="1"/>
      <c r="AA269" s="1"/>
      <c r="AB269" s="1"/>
      <c r="AC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764" t="s">
        <v>744</v>
      </c>
      <c r="X270" s="764"/>
      <c r="Y270" s="1"/>
      <c r="Z270" s="1"/>
      <c r="AA270" s="1"/>
      <c r="AB270" s="1"/>
      <c r="AC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764" t="s">
        <v>745</v>
      </c>
      <c r="X271" s="764"/>
      <c r="Y271" s="1"/>
      <c r="Z271" s="1"/>
      <c r="AA271" s="1"/>
      <c r="AB271" s="1"/>
      <c r="AC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764" t="s">
        <v>746</v>
      </c>
      <c r="X272" s="764"/>
      <c r="Y272" s="1"/>
      <c r="Z272" s="1"/>
      <c r="AA272" s="1"/>
      <c r="AB272" s="1"/>
      <c r="AC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764" t="s">
        <v>747</v>
      </c>
      <c r="X273" s="764"/>
      <c r="Y273" s="1"/>
      <c r="Z273" s="1"/>
      <c r="AA273" s="1"/>
      <c r="AB273" s="1"/>
      <c r="AC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764" t="s">
        <v>748</v>
      </c>
      <c r="X274" s="764"/>
      <c r="Y274" s="1"/>
      <c r="Z274" s="1"/>
      <c r="AA274" s="1"/>
      <c r="AB274" s="1"/>
      <c r="AC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764" t="s">
        <v>749</v>
      </c>
      <c r="X275" s="764"/>
      <c r="Y275" s="1"/>
      <c r="Z275" s="1"/>
      <c r="AA275" s="1"/>
      <c r="AB275" s="1"/>
      <c r="AC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764" t="s">
        <v>750</v>
      </c>
      <c r="X276" s="764"/>
      <c r="Y276" s="1"/>
      <c r="Z276" s="1"/>
      <c r="AA276" s="1"/>
      <c r="AB276" s="1"/>
      <c r="AC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764" t="s">
        <v>751</v>
      </c>
      <c r="X277" s="764"/>
      <c r="Y277" s="1"/>
      <c r="Z277" s="1"/>
      <c r="AA277" s="1"/>
      <c r="AB277" s="1"/>
      <c r="AC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764" t="s">
        <v>752</v>
      </c>
      <c r="X278" s="764"/>
      <c r="Y278" s="1"/>
      <c r="Z278" s="1"/>
      <c r="AA278" s="1"/>
      <c r="AB278" s="1"/>
      <c r="AC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764" t="s">
        <v>753</v>
      </c>
      <c r="X279" s="764"/>
      <c r="Y279" s="1"/>
      <c r="Z279" s="1"/>
      <c r="AA279" s="1"/>
      <c r="AB279" s="1"/>
      <c r="AC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764" t="s">
        <v>754</v>
      </c>
      <c r="X280" s="764"/>
      <c r="Y280" s="1"/>
      <c r="Z280" s="1"/>
      <c r="AA280" s="1"/>
      <c r="AB280" s="1"/>
      <c r="AC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764" t="s">
        <v>755</v>
      </c>
      <c r="X281" s="764"/>
      <c r="Y281" s="1"/>
      <c r="Z281" s="1"/>
      <c r="AA281" s="1"/>
      <c r="AB281" s="1"/>
      <c r="AC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764" t="s">
        <v>756</v>
      </c>
      <c r="X282" s="764"/>
      <c r="Y282" s="1"/>
      <c r="Z282" s="1"/>
      <c r="AA282" s="1"/>
      <c r="AB282" s="1"/>
      <c r="AC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764" t="s">
        <v>757</v>
      </c>
      <c r="X283" s="764"/>
      <c r="Y283" s="1"/>
      <c r="Z283" s="1"/>
      <c r="AA283" s="1"/>
      <c r="AB283" s="1"/>
      <c r="AC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764" t="s">
        <v>758</v>
      </c>
      <c r="X284" s="764"/>
      <c r="Y284" s="1"/>
      <c r="Z284" s="1"/>
      <c r="AA284" s="1"/>
      <c r="AB284" s="1"/>
      <c r="AC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764" t="s">
        <v>759</v>
      </c>
      <c r="X285" s="764"/>
      <c r="Y285" s="1"/>
      <c r="Z285" s="1"/>
      <c r="AA285" s="1"/>
      <c r="AB285" s="1"/>
      <c r="AC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764" t="s">
        <v>760</v>
      </c>
      <c r="X286" s="764"/>
      <c r="Y286" s="1"/>
      <c r="Z286" s="1"/>
      <c r="AA286" s="1"/>
      <c r="AB286" s="1"/>
      <c r="AC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764" t="s">
        <v>761</v>
      </c>
      <c r="X287" s="764"/>
      <c r="Y287" s="1"/>
      <c r="Z287" s="1"/>
      <c r="AA287" s="1"/>
      <c r="AB287" s="1"/>
      <c r="AC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764" t="s">
        <v>762</v>
      </c>
      <c r="X288" s="764"/>
      <c r="Y288" s="1"/>
      <c r="Z288" s="1"/>
      <c r="AA288" s="1"/>
      <c r="AB288" s="1"/>
      <c r="AC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764" t="s">
        <v>763</v>
      </c>
      <c r="X289" s="764"/>
      <c r="Y289" s="1"/>
      <c r="Z289" s="1"/>
      <c r="AA289" s="1"/>
      <c r="AB289" s="1"/>
      <c r="AC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764" t="s">
        <v>764</v>
      </c>
      <c r="X290" s="764"/>
      <c r="Y290" s="1"/>
      <c r="Z290" s="1"/>
      <c r="AA290" s="1"/>
      <c r="AB290" s="1"/>
      <c r="AC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764" t="s">
        <v>765</v>
      </c>
      <c r="X291" s="764"/>
      <c r="Y291" s="1"/>
      <c r="Z291" s="1"/>
      <c r="AA291" s="1"/>
      <c r="AB291" s="1"/>
      <c r="AC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764" t="s">
        <v>766</v>
      </c>
      <c r="X292" s="764"/>
      <c r="Y292" s="1"/>
      <c r="Z292" s="1"/>
      <c r="AA292" s="1"/>
      <c r="AB292" s="1"/>
      <c r="AC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764" t="s">
        <v>767</v>
      </c>
      <c r="X293" s="764"/>
      <c r="Y293" s="1"/>
      <c r="Z293" s="1"/>
      <c r="AA293" s="1"/>
      <c r="AB293" s="1"/>
      <c r="AC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764" t="s">
        <v>768</v>
      </c>
      <c r="X294" s="764"/>
      <c r="Y294" s="1"/>
      <c r="Z294" s="1"/>
      <c r="AA294" s="1"/>
      <c r="AB294" s="1"/>
      <c r="AC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764" t="s">
        <v>769</v>
      </c>
      <c r="X295" s="764"/>
      <c r="Y295" s="1"/>
      <c r="Z295" s="1"/>
      <c r="AA295" s="1"/>
      <c r="AB295" s="1"/>
      <c r="AC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764" t="s">
        <v>770</v>
      </c>
      <c r="X296" s="764"/>
      <c r="Y296" s="1"/>
      <c r="Z296" s="1"/>
      <c r="AA296" s="1"/>
      <c r="AB296" s="1"/>
      <c r="AC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764" t="s">
        <v>771</v>
      </c>
      <c r="X297" s="764"/>
      <c r="Y297" s="1"/>
      <c r="Z297" s="1"/>
      <c r="AA297" s="1"/>
      <c r="AB297" s="1"/>
      <c r="AC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764" t="s">
        <v>772</v>
      </c>
      <c r="X298" s="764"/>
      <c r="Y298" s="1"/>
      <c r="Z298" s="1"/>
      <c r="AA298" s="1"/>
      <c r="AB298" s="1"/>
      <c r="AC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764" t="s">
        <v>773</v>
      </c>
      <c r="X299" s="764"/>
      <c r="Y299" s="1"/>
      <c r="Z299" s="1"/>
      <c r="AA299" s="1"/>
      <c r="AB299" s="1"/>
      <c r="AC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764" t="s">
        <v>774</v>
      </c>
      <c r="X300" s="764"/>
      <c r="Y300" s="1"/>
      <c r="Z300" s="1"/>
      <c r="AA300" s="1"/>
      <c r="AB300" s="1"/>
      <c r="AC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764" t="s">
        <v>775</v>
      </c>
      <c r="X301" s="764"/>
      <c r="Y301" s="1"/>
      <c r="Z301" s="1"/>
      <c r="AA301" s="1"/>
      <c r="AB301" s="1"/>
      <c r="AC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764" t="s">
        <v>776</v>
      </c>
      <c r="X302" s="764"/>
      <c r="Y302" s="1"/>
      <c r="Z302" s="1"/>
      <c r="AA302" s="1"/>
      <c r="AB302" s="1"/>
      <c r="AC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764" t="s">
        <v>777</v>
      </c>
      <c r="X303" s="764"/>
      <c r="Y303" s="1"/>
      <c r="Z303" s="1"/>
      <c r="AA303" s="1"/>
      <c r="AB303" s="1"/>
      <c r="AC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764" t="s">
        <v>778</v>
      </c>
      <c r="X304" s="764"/>
      <c r="Y304" s="1"/>
      <c r="Z304" s="1"/>
      <c r="AA304" s="1"/>
      <c r="AB304" s="1"/>
      <c r="AC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764" t="s">
        <v>779</v>
      </c>
      <c r="X305" s="764"/>
      <c r="Y305" s="1"/>
      <c r="Z305" s="1"/>
      <c r="AA305" s="1"/>
      <c r="AB305" s="1"/>
      <c r="AC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764" t="s">
        <v>780</v>
      </c>
      <c r="X306" s="764"/>
      <c r="Y306" s="1"/>
      <c r="Z306" s="1"/>
      <c r="AA306" s="1"/>
      <c r="AB306" s="1"/>
      <c r="AC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764" t="s">
        <v>781</v>
      </c>
      <c r="X307" s="764"/>
      <c r="Y307" s="1"/>
      <c r="Z307" s="1"/>
      <c r="AA307" s="1"/>
      <c r="AB307" s="1"/>
      <c r="AC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764" t="s">
        <v>782</v>
      </c>
      <c r="X308" s="764"/>
      <c r="Y308" s="1"/>
      <c r="Z308" s="1"/>
      <c r="AA308" s="1"/>
      <c r="AB308" s="1"/>
      <c r="AC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764" t="s">
        <v>783</v>
      </c>
      <c r="X309" s="764"/>
      <c r="Y309" s="1"/>
      <c r="Z309" s="1"/>
      <c r="AA309" s="1"/>
      <c r="AB309" s="1"/>
      <c r="AC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764" t="s">
        <v>784</v>
      </c>
      <c r="X310" s="764"/>
      <c r="Y310" s="1"/>
      <c r="Z310" s="1"/>
      <c r="AA310" s="1"/>
      <c r="AB310" s="1"/>
      <c r="AC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764" t="s">
        <v>785</v>
      </c>
      <c r="X311" s="764"/>
      <c r="Y311" s="1"/>
      <c r="Z311" s="1"/>
      <c r="AA311" s="1"/>
      <c r="AB311" s="1"/>
      <c r="AC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764" t="s">
        <v>786</v>
      </c>
      <c r="X312" s="764"/>
      <c r="Y312" s="1"/>
      <c r="Z312" s="1"/>
      <c r="AA312" s="1"/>
      <c r="AB312" s="1"/>
      <c r="AC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764" t="s">
        <v>787</v>
      </c>
      <c r="X313" s="764"/>
      <c r="Y313" s="1"/>
      <c r="Z313" s="1"/>
      <c r="AA313" s="1"/>
      <c r="AB313" s="1"/>
      <c r="AC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764" t="s">
        <v>788</v>
      </c>
      <c r="X314" s="764"/>
      <c r="Y314" s="1"/>
      <c r="Z314" s="1"/>
      <c r="AA314" s="1"/>
      <c r="AB314" s="1"/>
      <c r="AC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764" t="s">
        <v>789</v>
      </c>
      <c r="X315" s="764"/>
      <c r="Y315" s="1"/>
      <c r="Z315" s="1"/>
      <c r="AA315" s="1"/>
      <c r="AB315" s="1"/>
      <c r="AC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764" t="s">
        <v>790</v>
      </c>
      <c r="X316" s="764"/>
      <c r="Y316" s="1"/>
      <c r="Z316" s="1"/>
      <c r="AA316" s="1"/>
      <c r="AB316" s="1"/>
      <c r="AC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764" t="s">
        <v>791</v>
      </c>
      <c r="X317" s="764"/>
      <c r="Y317" s="1"/>
      <c r="Z317" s="1"/>
      <c r="AA317" s="1"/>
      <c r="AB317" s="1"/>
      <c r="AC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764" t="s">
        <v>792</v>
      </c>
      <c r="X318" s="764"/>
      <c r="Y318" s="1"/>
      <c r="Z318" s="1"/>
      <c r="AA318" s="1"/>
      <c r="AB318" s="1"/>
      <c r="AC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764" t="s">
        <v>793</v>
      </c>
      <c r="X319" s="764"/>
      <c r="Y319" s="1"/>
      <c r="Z319" s="1"/>
      <c r="AA319" s="1"/>
      <c r="AB319" s="1"/>
      <c r="AC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764" t="s">
        <v>794</v>
      </c>
      <c r="X320" s="764"/>
      <c r="Y320" s="1"/>
      <c r="Z320" s="1"/>
      <c r="AA320" s="1"/>
      <c r="AB320" s="1"/>
      <c r="AC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764" t="s">
        <v>795</v>
      </c>
      <c r="X321" s="764"/>
      <c r="Y321" s="1"/>
      <c r="Z321" s="1"/>
      <c r="AA321" s="1"/>
      <c r="AB321" s="1"/>
      <c r="AC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764" t="s">
        <v>796</v>
      </c>
      <c r="X322" s="764"/>
      <c r="Y322" s="1"/>
      <c r="Z322" s="1"/>
      <c r="AA322" s="1"/>
      <c r="AB322" s="1"/>
      <c r="AC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764" t="s">
        <v>797</v>
      </c>
      <c r="X323" s="764"/>
      <c r="Y323" s="1"/>
      <c r="Z323" s="1"/>
      <c r="AA323" s="1"/>
      <c r="AB323" s="1"/>
      <c r="AC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764" t="s">
        <v>798</v>
      </c>
      <c r="X324" s="764"/>
      <c r="Y324" s="1"/>
      <c r="Z324" s="1"/>
      <c r="AA324" s="1"/>
      <c r="AB324" s="1"/>
      <c r="AC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764" t="s">
        <v>799</v>
      </c>
      <c r="X325" s="764"/>
      <c r="Y325" s="1"/>
      <c r="Z325" s="1"/>
      <c r="AA325" s="1"/>
      <c r="AB325" s="1"/>
      <c r="AC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764" t="s">
        <v>800</v>
      </c>
      <c r="X326" s="764"/>
      <c r="Y326" s="1"/>
      <c r="Z326" s="1"/>
      <c r="AA326" s="1"/>
      <c r="AB326" s="1"/>
      <c r="AC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764" t="s">
        <v>801</v>
      </c>
      <c r="X327" s="764"/>
      <c r="Y327" s="1"/>
      <c r="Z327" s="1"/>
      <c r="AA327" s="1"/>
      <c r="AB327" s="1"/>
      <c r="AC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764" t="s">
        <v>802</v>
      </c>
      <c r="X328" s="764"/>
      <c r="Y328" s="1"/>
      <c r="Z328" s="1"/>
      <c r="AA328" s="1"/>
      <c r="AB328" s="1"/>
      <c r="AC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764" t="s">
        <v>803</v>
      </c>
      <c r="X329" s="764"/>
      <c r="Y329" s="1"/>
      <c r="Z329" s="1"/>
      <c r="AA329" s="1"/>
      <c r="AB329" s="1"/>
      <c r="AC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764" t="s">
        <v>804</v>
      </c>
      <c r="X330" s="764"/>
      <c r="Y330" s="1"/>
      <c r="Z330" s="1"/>
      <c r="AA330" s="1"/>
      <c r="AB330" s="1"/>
      <c r="AC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764" t="s">
        <v>805</v>
      </c>
      <c r="X331" s="764"/>
      <c r="Y331" s="1"/>
      <c r="Z331" s="1"/>
      <c r="AA331" s="1"/>
      <c r="AB331" s="1"/>
      <c r="AC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764" t="s">
        <v>806</v>
      </c>
      <c r="X332" s="764"/>
      <c r="Y332" s="1"/>
      <c r="Z332" s="1"/>
      <c r="AA332" s="1"/>
      <c r="AB332" s="1"/>
      <c r="AC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764" t="s">
        <v>807</v>
      </c>
      <c r="X333" s="764"/>
      <c r="Y333" s="1"/>
      <c r="Z333" s="1"/>
      <c r="AA333" s="1"/>
      <c r="AB333" s="1"/>
      <c r="AC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764" t="s">
        <v>808</v>
      </c>
      <c r="X334" s="764"/>
      <c r="Y334" s="1"/>
      <c r="Z334" s="1"/>
      <c r="AA334" s="1"/>
      <c r="AB334" s="1"/>
      <c r="AC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764" t="s">
        <v>809</v>
      </c>
      <c r="X335" s="764"/>
      <c r="Y335" s="1"/>
      <c r="Z335" s="1"/>
      <c r="AA335" s="1"/>
      <c r="AB335" s="1"/>
      <c r="AC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764" t="s">
        <v>810</v>
      </c>
      <c r="X336" s="764"/>
      <c r="Y336" s="1"/>
      <c r="Z336" s="1"/>
      <c r="AA336" s="1"/>
      <c r="AB336" s="1"/>
      <c r="AC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764" t="s">
        <v>811</v>
      </c>
      <c r="X337" s="764"/>
      <c r="Y337" s="1"/>
      <c r="Z337" s="1"/>
      <c r="AA337" s="1"/>
      <c r="AB337" s="1"/>
      <c r="AC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764" t="s">
        <v>812</v>
      </c>
      <c r="X338" s="764"/>
      <c r="Y338" s="1"/>
      <c r="Z338" s="1"/>
      <c r="AA338" s="1"/>
      <c r="AB338" s="1"/>
      <c r="AC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764" t="s">
        <v>813</v>
      </c>
      <c r="X339" s="764"/>
      <c r="Y339" s="1"/>
      <c r="Z339" s="1"/>
      <c r="AA339" s="1"/>
      <c r="AB339" s="1"/>
      <c r="AC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764" t="s">
        <v>814</v>
      </c>
      <c r="X340" s="764"/>
      <c r="Y340" s="1"/>
      <c r="Z340" s="1"/>
      <c r="AA340" s="1"/>
      <c r="AB340" s="1"/>
      <c r="AC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764" t="s">
        <v>815</v>
      </c>
      <c r="X341" s="764"/>
      <c r="Y341" s="1"/>
      <c r="Z341" s="1"/>
      <c r="AA341" s="1"/>
      <c r="AB341" s="1"/>
      <c r="AC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764" t="s">
        <v>816</v>
      </c>
      <c r="X342" s="764"/>
      <c r="Y342" s="1"/>
      <c r="Z342" s="1"/>
      <c r="AA342" s="1"/>
      <c r="AB342" s="1"/>
      <c r="AC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764" t="s">
        <v>817</v>
      </c>
      <c r="X343" s="764"/>
      <c r="Y343" s="1"/>
      <c r="Z343" s="1"/>
      <c r="AA343" s="1"/>
      <c r="AB343" s="1"/>
      <c r="AC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764" t="s">
        <v>818</v>
      </c>
      <c r="X344" s="764"/>
      <c r="Y344" s="1"/>
      <c r="Z344" s="1"/>
      <c r="AA344" s="1"/>
      <c r="AB344" s="1"/>
      <c r="AC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764" t="s">
        <v>819</v>
      </c>
      <c r="X345" s="764"/>
      <c r="Y345" s="1"/>
      <c r="Z345" s="1"/>
      <c r="AA345" s="1"/>
      <c r="AB345" s="1"/>
      <c r="AC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764" t="s">
        <v>820</v>
      </c>
      <c r="X346" s="764"/>
      <c r="Y346" s="1"/>
      <c r="Z346" s="1"/>
      <c r="AA346" s="1"/>
      <c r="AB346" s="1"/>
      <c r="AC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764" t="s">
        <v>821</v>
      </c>
      <c r="X347" s="764"/>
      <c r="Y347" s="1"/>
      <c r="Z347" s="1"/>
      <c r="AA347" s="1"/>
      <c r="AB347" s="1"/>
      <c r="AC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764" t="s">
        <v>822</v>
      </c>
      <c r="X348" s="764"/>
      <c r="Y348" s="1"/>
      <c r="Z348" s="1"/>
      <c r="AA348" s="1"/>
      <c r="AB348" s="1"/>
      <c r="AC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764" t="s">
        <v>823</v>
      </c>
      <c r="X349" s="764"/>
      <c r="Y349" s="1"/>
      <c r="Z349" s="1"/>
      <c r="AA349" s="1"/>
      <c r="AB349" s="1"/>
      <c r="AC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764" t="s">
        <v>824</v>
      </c>
      <c r="X350" s="764"/>
      <c r="Y350" s="1"/>
      <c r="Z350" s="1"/>
      <c r="AA350" s="1"/>
      <c r="AB350" s="1"/>
      <c r="AC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764" t="s">
        <v>825</v>
      </c>
      <c r="X351" s="764"/>
      <c r="Y351" s="1"/>
      <c r="Z351" s="1"/>
      <c r="AA351" s="1"/>
      <c r="AB351" s="1"/>
      <c r="AC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764" t="s">
        <v>826</v>
      </c>
      <c r="X352" s="764"/>
      <c r="Y352" s="1"/>
      <c r="Z352" s="1"/>
      <c r="AA352" s="1"/>
      <c r="AB352" s="1"/>
      <c r="AC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764" t="s">
        <v>827</v>
      </c>
      <c r="X353" s="764"/>
      <c r="Y353" s="1"/>
      <c r="Z353" s="1"/>
      <c r="AA353" s="1"/>
      <c r="AB353" s="1"/>
      <c r="AC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764" t="s">
        <v>828</v>
      </c>
      <c r="X354" s="764"/>
      <c r="Y354" s="1"/>
      <c r="Z354" s="1"/>
      <c r="AA354" s="1"/>
      <c r="AB354" s="1"/>
      <c r="AC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764" t="s">
        <v>829</v>
      </c>
      <c r="X355" s="764"/>
      <c r="Y355" s="1"/>
      <c r="Z355" s="1"/>
      <c r="AA355" s="1"/>
      <c r="AB355" s="1"/>
      <c r="AC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764" t="s">
        <v>830</v>
      </c>
      <c r="X356" s="764"/>
      <c r="Y356" s="1"/>
      <c r="Z356" s="1"/>
      <c r="AA356" s="1"/>
      <c r="AB356" s="1"/>
      <c r="AC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764" t="s">
        <v>831</v>
      </c>
      <c r="X357" s="764"/>
      <c r="Y357" s="1"/>
      <c r="Z357" s="1"/>
      <c r="AA357" s="1"/>
      <c r="AB357" s="1"/>
      <c r="AC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764" t="s">
        <v>832</v>
      </c>
      <c r="X358" s="764"/>
      <c r="Y358" s="1"/>
      <c r="Z358" s="1"/>
      <c r="AA358" s="1"/>
      <c r="AB358" s="1"/>
      <c r="AC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764" t="s">
        <v>833</v>
      </c>
      <c r="X359" s="764"/>
      <c r="Y359" s="1"/>
      <c r="Z359" s="1"/>
      <c r="AA359" s="1"/>
      <c r="AB359" s="1"/>
      <c r="AC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764" t="s">
        <v>834</v>
      </c>
      <c r="X360" s="764"/>
      <c r="Y360" s="1"/>
      <c r="Z360" s="1"/>
      <c r="AA360" s="1"/>
      <c r="AB360" s="1"/>
      <c r="AC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764" t="s">
        <v>835</v>
      </c>
      <c r="X361" s="764"/>
      <c r="Y361" s="1"/>
      <c r="Z361" s="1"/>
      <c r="AA361" s="1"/>
      <c r="AB361" s="1"/>
      <c r="AC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764" t="s">
        <v>836</v>
      </c>
      <c r="X362" s="764"/>
      <c r="Y362" s="1"/>
      <c r="Z362" s="1"/>
      <c r="AA362" s="1"/>
      <c r="AB362" s="1"/>
      <c r="AC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764" t="s">
        <v>837</v>
      </c>
      <c r="X363" s="764"/>
      <c r="Y363" s="1"/>
      <c r="Z363" s="1"/>
      <c r="AA363" s="1"/>
      <c r="AB363" s="1"/>
      <c r="AC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764" t="s">
        <v>838</v>
      </c>
      <c r="X364" s="764"/>
      <c r="Y364" s="1"/>
      <c r="Z364" s="1"/>
      <c r="AA364" s="1"/>
      <c r="AB364" s="1"/>
      <c r="AC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764" t="s">
        <v>839</v>
      </c>
      <c r="X365" s="764"/>
      <c r="Y365" s="1"/>
      <c r="Z365" s="1"/>
      <c r="AA365" s="1"/>
      <c r="AB365" s="1"/>
      <c r="AC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764" t="s">
        <v>840</v>
      </c>
      <c r="X366" s="764"/>
      <c r="Y366" s="1"/>
      <c r="Z366" s="1"/>
      <c r="AA366" s="1"/>
      <c r="AB366" s="1"/>
      <c r="AC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764" t="s">
        <v>841</v>
      </c>
      <c r="X367" s="764"/>
      <c r="Y367" s="1"/>
      <c r="Z367" s="1"/>
      <c r="AA367" s="1"/>
      <c r="AB367" s="1"/>
      <c r="AC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764" t="s">
        <v>842</v>
      </c>
      <c r="X368" s="764"/>
      <c r="Y368" s="1"/>
      <c r="Z368" s="1"/>
      <c r="AA368" s="1"/>
      <c r="AB368" s="1"/>
      <c r="AC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764" t="s">
        <v>843</v>
      </c>
      <c r="X369" s="764"/>
      <c r="Y369" s="1"/>
      <c r="Z369" s="1"/>
      <c r="AA369" s="1"/>
      <c r="AB369" s="1"/>
      <c r="AC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764" t="s">
        <v>844</v>
      </c>
      <c r="X370" s="764"/>
      <c r="Y370" s="1"/>
      <c r="Z370" s="1"/>
      <c r="AA370" s="1"/>
      <c r="AB370" s="1"/>
      <c r="AC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764" t="s">
        <v>845</v>
      </c>
      <c r="X371" s="764"/>
      <c r="Y371" s="1"/>
      <c r="Z371" s="1"/>
      <c r="AA371" s="1"/>
      <c r="AB371" s="1"/>
      <c r="AC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764" t="s">
        <v>846</v>
      </c>
      <c r="X372" s="764"/>
      <c r="Y372" s="1"/>
      <c r="Z372" s="1"/>
      <c r="AA372" s="1"/>
      <c r="AB372" s="1"/>
      <c r="AC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764" t="s">
        <v>847</v>
      </c>
      <c r="X373" s="764"/>
      <c r="Y373" s="1"/>
      <c r="Z373" s="1"/>
      <c r="AA373" s="1"/>
      <c r="AB373" s="1"/>
      <c r="AC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764" t="s">
        <v>848</v>
      </c>
      <c r="X374" s="764"/>
      <c r="Y374" s="1"/>
      <c r="Z374" s="1"/>
      <c r="AA374" s="1"/>
      <c r="AB374" s="1"/>
      <c r="AC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764" t="s">
        <v>849</v>
      </c>
      <c r="X375" s="764"/>
      <c r="Y375" s="1"/>
      <c r="Z375" s="1"/>
      <c r="AA375" s="1"/>
      <c r="AB375" s="1"/>
      <c r="AC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764" t="s">
        <v>850</v>
      </c>
      <c r="X376" s="764"/>
      <c r="Y376" s="1"/>
      <c r="Z376" s="1"/>
      <c r="AA376" s="1"/>
      <c r="AB376" s="1"/>
      <c r="AC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764" t="s">
        <v>851</v>
      </c>
      <c r="X377" s="764"/>
      <c r="Y377" s="1"/>
      <c r="Z377" s="1"/>
      <c r="AA377" s="1"/>
      <c r="AB377" s="1"/>
      <c r="AC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764" t="s">
        <v>852</v>
      </c>
      <c r="X378" s="764"/>
      <c r="Y378" s="1"/>
      <c r="Z378" s="1"/>
      <c r="AA378" s="1"/>
      <c r="AB378" s="1"/>
      <c r="AC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764" t="s">
        <v>853</v>
      </c>
      <c r="X379" s="764"/>
      <c r="Y379" s="1"/>
      <c r="Z379" s="1"/>
      <c r="AA379" s="1"/>
      <c r="AB379" s="1"/>
      <c r="AC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764" t="s">
        <v>854</v>
      </c>
      <c r="X380" s="764"/>
      <c r="Y380" s="1"/>
      <c r="Z380" s="1"/>
      <c r="AA380" s="1"/>
      <c r="AB380" s="1"/>
      <c r="AC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764" t="s">
        <v>855</v>
      </c>
      <c r="X381" s="764"/>
      <c r="Y381" s="1"/>
      <c r="Z381" s="1"/>
      <c r="AA381" s="1"/>
      <c r="AB381" s="1"/>
      <c r="AC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764" t="s">
        <v>856</v>
      </c>
      <c r="X382" s="764"/>
      <c r="Y382" s="1"/>
      <c r="Z382" s="1"/>
      <c r="AA382" s="1"/>
      <c r="AB382" s="1"/>
      <c r="AC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764" t="s">
        <v>857</v>
      </c>
      <c r="X383" s="764"/>
      <c r="Y383" s="1"/>
      <c r="Z383" s="1"/>
      <c r="AA383" s="1"/>
      <c r="AB383" s="1"/>
      <c r="AC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764" t="s">
        <v>858</v>
      </c>
      <c r="X384" s="764"/>
      <c r="Y384" s="1"/>
      <c r="Z384" s="1"/>
      <c r="AA384" s="1"/>
      <c r="AB384" s="1"/>
      <c r="AC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764" t="s">
        <v>859</v>
      </c>
      <c r="X385" s="764"/>
      <c r="Y385" s="1"/>
      <c r="Z385" s="1"/>
      <c r="AA385" s="1"/>
      <c r="AB385" s="1"/>
      <c r="AC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764" t="s">
        <v>860</v>
      </c>
      <c r="X386" s="764"/>
      <c r="Y386" s="1"/>
      <c r="Z386" s="1"/>
      <c r="AA386" s="1"/>
      <c r="AB386" s="1"/>
      <c r="AC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764" t="s">
        <v>861</v>
      </c>
      <c r="X387" s="764"/>
      <c r="Y387" s="1"/>
      <c r="Z387" s="1"/>
      <c r="AA387" s="1"/>
      <c r="AB387" s="1"/>
      <c r="AC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764" t="s">
        <v>862</v>
      </c>
      <c r="X388" s="764"/>
      <c r="Y388" s="1"/>
      <c r="Z388" s="1"/>
      <c r="AA388" s="1"/>
      <c r="AB388" s="1"/>
      <c r="AC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764" t="s">
        <v>863</v>
      </c>
      <c r="X389" s="764"/>
      <c r="Y389" s="1"/>
      <c r="Z389" s="1"/>
      <c r="AA389" s="1"/>
      <c r="AB389" s="1"/>
      <c r="AC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764" t="s">
        <v>864</v>
      </c>
      <c r="X390" s="764"/>
      <c r="Y390" s="1"/>
      <c r="Z390" s="1"/>
      <c r="AA390" s="1"/>
      <c r="AB390" s="1"/>
      <c r="AC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764" t="s">
        <v>865</v>
      </c>
      <c r="X391" s="764"/>
      <c r="Y391" s="1"/>
      <c r="Z391" s="1"/>
      <c r="AA391" s="1"/>
      <c r="AB391" s="1"/>
      <c r="AC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764" t="s">
        <v>866</v>
      </c>
      <c r="X392" s="764"/>
      <c r="Y392" s="1"/>
      <c r="Z392" s="1"/>
      <c r="AA392" s="1"/>
      <c r="AB392" s="1"/>
      <c r="AC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764" t="s">
        <v>867</v>
      </c>
      <c r="X393" s="764"/>
      <c r="Y393" s="1"/>
      <c r="Z393" s="1"/>
      <c r="AA393" s="1"/>
      <c r="AB393" s="1"/>
      <c r="AC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764" t="s">
        <v>868</v>
      </c>
      <c r="X394" s="764"/>
      <c r="Y394" s="1"/>
      <c r="Z394" s="1"/>
      <c r="AA394" s="1"/>
      <c r="AB394" s="1"/>
      <c r="AC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764" t="s">
        <v>869</v>
      </c>
      <c r="X395" s="764"/>
      <c r="Y395" s="1"/>
      <c r="Z395" s="1"/>
      <c r="AA395" s="1"/>
      <c r="AB395" s="1"/>
      <c r="AC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764" t="s">
        <v>870</v>
      </c>
      <c r="X396" s="764"/>
      <c r="Y396" s="1"/>
      <c r="Z396" s="1"/>
      <c r="AA396" s="1"/>
      <c r="AB396" s="1"/>
      <c r="AC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764" t="s">
        <v>871</v>
      </c>
      <c r="X397" s="764"/>
      <c r="Y397" s="1"/>
      <c r="Z397" s="1"/>
      <c r="AA397" s="1"/>
      <c r="AB397" s="1"/>
      <c r="AC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764" t="s">
        <v>872</v>
      </c>
      <c r="X398" s="764"/>
      <c r="Y398" s="1"/>
      <c r="Z398" s="1"/>
      <c r="AA398" s="1"/>
      <c r="AB398" s="1"/>
      <c r="AC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764" t="s">
        <v>873</v>
      </c>
      <c r="X399" s="764"/>
      <c r="Y399" s="1"/>
      <c r="Z399" s="1"/>
      <c r="AA399" s="1"/>
      <c r="AB399" s="1"/>
      <c r="AC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764" t="s">
        <v>874</v>
      </c>
      <c r="X400" s="764"/>
      <c r="Y400" s="1"/>
      <c r="Z400" s="1"/>
      <c r="AA400" s="1"/>
      <c r="AB400" s="1"/>
      <c r="AC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764" t="s">
        <v>875</v>
      </c>
      <c r="X401" s="764"/>
      <c r="Y401" s="1"/>
      <c r="Z401" s="1"/>
      <c r="AA401" s="1"/>
      <c r="AB401" s="1"/>
      <c r="AC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764" t="s">
        <v>876</v>
      </c>
      <c r="X402" s="764"/>
      <c r="Y402" s="1"/>
      <c r="Z402" s="1"/>
      <c r="AA402" s="1"/>
      <c r="AB402" s="1"/>
      <c r="AC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764" t="s">
        <v>877</v>
      </c>
      <c r="X403" s="764"/>
      <c r="Y403" s="1"/>
      <c r="Z403" s="1"/>
      <c r="AA403" s="1"/>
      <c r="AB403" s="1"/>
      <c r="AC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764" t="s">
        <v>878</v>
      </c>
      <c r="X404" s="764"/>
      <c r="Y404" s="1"/>
      <c r="Z404" s="1"/>
      <c r="AA404" s="1"/>
      <c r="AB404" s="1"/>
      <c r="AC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764" t="s">
        <v>879</v>
      </c>
      <c r="X405" s="764"/>
      <c r="Y405" s="1"/>
      <c r="Z405" s="1"/>
      <c r="AA405" s="1"/>
      <c r="AB405" s="1"/>
      <c r="AC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764" t="s">
        <v>880</v>
      </c>
      <c r="X406" s="764"/>
      <c r="Y406" s="1"/>
      <c r="Z406" s="1"/>
      <c r="AA406" s="1"/>
      <c r="AB406" s="1"/>
      <c r="AC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764" t="s">
        <v>881</v>
      </c>
      <c r="X407" s="764"/>
      <c r="Y407" s="1"/>
      <c r="Z407" s="1"/>
      <c r="AA407" s="1"/>
      <c r="AB407" s="1"/>
      <c r="AC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764" t="s">
        <v>882</v>
      </c>
      <c r="X408" s="764"/>
      <c r="Y408" s="1"/>
      <c r="Z408" s="1"/>
      <c r="AA408" s="1"/>
      <c r="AB408" s="1"/>
      <c r="AC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764" t="s">
        <v>883</v>
      </c>
      <c r="X409" s="764"/>
      <c r="Y409" s="1"/>
      <c r="Z409" s="1"/>
      <c r="AA409" s="1"/>
      <c r="AB409" s="1"/>
      <c r="AC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764" t="s">
        <v>884</v>
      </c>
      <c r="X410" s="764"/>
      <c r="Y410" s="1"/>
      <c r="Z410" s="1"/>
      <c r="AA410" s="1"/>
      <c r="AB410" s="1"/>
      <c r="AC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764" t="s">
        <v>885</v>
      </c>
      <c r="X411" s="764"/>
      <c r="Y411" s="1"/>
      <c r="Z411" s="1"/>
      <c r="AA411" s="1"/>
      <c r="AB411" s="1"/>
      <c r="AC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764" t="s">
        <v>886</v>
      </c>
      <c r="X412" s="764"/>
      <c r="Y412" s="1"/>
      <c r="Z412" s="1"/>
      <c r="AA412" s="1"/>
      <c r="AB412" s="1"/>
      <c r="AC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0">
    <mergeCell ref="I45:K45"/>
    <mergeCell ref="M45:P45"/>
    <mergeCell ref="S45:U45"/>
    <mergeCell ref="J33:K33"/>
    <mergeCell ref="B34:D34"/>
    <mergeCell ref="F34:H34"/>
    <mergeCell ref="M34:N34"/>
    <mergeCell ref="Q34:T34"/>
    <mergeCell ref="B45:D45"/>
    <mergeCell ref="F45:G45"/>
  </mergeCells>
  <printOptions/>
  <pageMargins bottom="0.75" footer="0.0" header="0.0" left="0.7" right="0.7" top="0.75"/>
  <pageSetup paperSize="9" orientation="portrait"/>
  <drawing r:id="rId1"/>
  <tableParts count="15">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5E5C"/>
    <pageSetUpPr/>
  </sheetPr>
  <sheetViews>
    <sheetView workbookViewId="0"/>
  </sheetViews>
  <sheetFormatPr customHeight="1" defaultColWidth="14.43" defaultRowHeight="15.0"/>
  <cols>
    <col customWidth="1" min="1" max="2" width="9.29"/>
    <col customWidth="1" min="3" max="3" width="34.29"/>
    <col customWidth="1" min="4" max="4" width="45.43"/>
    <col customWidth="1" min="5" max="5" width="38.71"/>
    <col customWidth="1" min="6" max="26" width="9.29"/>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4.25" customHeight="1">
      <c r="A2" s="1"/>
      <c r="B2" s="1"/>
      <c r="C2" s="1"/>
      <c r="D2" s="1"/>
      <c r="E2" s="1"/>
      <c r="F2" s="1"/>
      <c r="G2" s="1"/>
      <c r="H2" s="1"/>
      <c r="I2" s="1"/>
      <c r="J2" s="1"/>
      <c r="K2" s="1"/>
      <c r="L2" s="1"/>
      <c r="M2" s="1"/>
      <c r="N2" s="1"/>
      <c r="O2" s="1"/>
      <c r="P2" s="1"/>
      <c r="Q2" s="1"/>
      <c r="R2" s="1"/>
      <c r="S2" s="1"/>
      <c r="T2" s="1"/>
      <c r="U2" s="1"/>
      <c r="V2" s="1"/>
      <c r="W2" s="1"/>
      <c r="X2" s="1"/>
      <c r="Y2" s="1"/>
      <c r="Z2" s="1"/>
    </row>
    <row r="3" ht="14.25" customHeight="1">
      <c r="A3" s="1"/>
      <c r="B3" s="1"/>
      <c r="C3" s="182" t="s">
        <v>887</v>
      </c>
      <c r="D3" s="179"/>
      <c r="E3" s="60"/>
      <c r="F3" s="1"/>
      <c r="G3" s="1"/>
      <c r="H3" s="1"/>
      <c r="I3" s="1"/>
      <c r="J3" s="1"/>
      <c r="K3" s="1"/>
      <c r="L3" s="1"/>
      <c r="M3" s="1"/>
      <c r="N3" s="1"/>
      <c r="O3" s="1"/>
      <c r="P3" s="1"/>
      <c r="Q3" s="1"/>
      <c r="R3" s="1"/>
      <c r="S3" s="1"/>
      <c r="T3" s="1"/>
      <c r="U3" s="1"/>
      <c r="V3" s="1"/>
      <c r="W3" s="1"/>
      <c r="X3" s="1"/>
      <c r="Y3" s="1"/>
      <c r="Z3" s="1"/>
    </row>
    <row r="4" ht="14.25" customHeight="1">
      <c r="A4" s="1"/>
      <c r="B4" s="1"/>
      <c r="C4" s="195" t="s">
        <v>888</v>
      </c>
      <c r="D4" s="196" t="s">
        <v>889</v>
      </c>
      <c r="E4" s="192" t="s">
        <v>890</v>
      </c>
      <c r="F4" s="1"/>
      <c r="G4" s="1"/>
      <c r="H4" s="1"/>
      <c r="I4" s="1"/>
      <c r="J4" s="1"/>
      <c r="K4" s="1"/>
      <c r="L4" s="1"/>
      <c r="M4" s="1"/>
      <c r="N4" s="1"/>
      <c r="O4" s="1"/>
      <c r="P4" s="1"/>
      <c r="Q4" s="1"/>
      <c r="R4" s="1"/>
      <c r="S4" s="1"/>
      <c r="T4" s="1"/>
      <c r="U4" s="1"/>
      <c r="V4" s="1"/>
      <c r="W4" s="1"/>
      <c r="X4" s="1"/>
      <c r="Y4" s="1"/>
      <c r="Z4" s="1"/>
    </row>
    <row r="5" ht="14.25" customHeight="1">
      <c r="A5" s="1"/>
      <c r="B5" s="1"/>
      <c r="C5" s="791" t="s">
        <v>891</v>
      </c>
      <c r="D5" s="754" t="s">
        <v>892</v>
      </c>
      <c r="E5" s="300" t="s">
        <v>893</v>
      </c>
      <c r="F5" s="1"/>
      <c r="G5" s="1"/>
      <c r="H5" s="1"/>
      <c r="I5" s="1"/>
      <c r="J5" s="1"/>
      <c r="K5" s="1"/>
      <c r="L5" s="1"/>
      <c r="M5" s="1"/>
      <c r="N5" s="1"/>
      <c r="O5" s="1"/>
      <c r="P5" s="1"/>
      <c r="Q5" s="1"/>
      <c r="R5" s="1"/>
      <c r="S5" s="1"/>
      <c r="T5" s="1"/>
      <c r="U5" s="1"/>
      <c r="V5" s="1"/>
      <c r="W5" s="1"/>
      <c r="X5" s="1"/>
      <c r="Y5" s="1"/>
      <c r="Z5" s="1"/>
    </row>
    <row r="6" ht="14.25" customHeight="1">
      <c r="A6" s="1"/>
      <c r="B6" s="1"/>
      <c r="C6" s="791" t="s">
        <v>894</v>
      </c>
      <c r="D6" s="755" t="s">
        <v>895</v>
      </c>
      <c r="E6" s="300" t="s">
        <v>896</v>
      </c>
      <c r="F6" s="1"/>
      <c r="G6" s="1"/>
      <c r="H6" s="1"/>
      <c r="I6" s="1"/>
      <c r="J6" s="1"/>
      <c r="K6" s="1"/>
      <c r="L6" s="1"/>
      <c r="M6" s="1"/>
      <c r="N6" s="1"/>
      <c r="O6" s="1"/>
      <c r="P6" s="1"/>
      <c r="Q6" s="1"/>
      <c r="R6" s="1"/>
      <c r="S6" s="1"/>
      <c r="T6" s="1"/>
      <c r="U6" s="1"/>
      <c r="V6" s="1"/>
      <c r="W6" s="1"/>
      <c r="X6" s="1"/>
      <c r="Y6" s="1"/>
      <c r="Z6" s="1"/>
    </row>
    <row r="7" ht="14.25" customHeight="1">
      <c r="A7" s="1"/>
      <c r="B7" s="1"/>
      <c r="C7" s="791" t="s">
        <v>897</v>
      </c>
      <c r="D7" s="755" t="s">
        <v>898</v>
      </c>
      <c r="E7" s="300" t="s">
        <v>899</v>
      </c>
      <c r="F7" s="1"/>
      <c r="G7" s="1"/>
      <c r="H7" s="1"/>
      <c r="I7" s="1"/>
      <c r="J7" s="1"/>
      <c r="K7" s="1"/>
      <c r="L7" s="1"/>
      <c r="M7" s="1"/>
      <c r="N7" s="1"/>
      <c r="O7" s="1"/>
      <c r="P7" s="1"/>
      <c r="Q7" s="1"/>
      <c r="R7" s="1"/>
      <c r="S7" s="1"/>
      <c r="T7" s="1"/>
      <c r="U7" s="1"/>
      <c r="V7" s="1"/>
      <c r="W7" s="1"/>
      <c r="X7" s="1"/>
      <c r="Y7" s="1"/>
      <c r="Z7" s="1"/>
    </row>
    <row r="8" ht="14.25" customHeight="1">
      <c r="A8" s="1"/>
      <c r="B8" s="1"/>
      <c r="C8" s="791" t="s">
        <v>900</v>
      </c>
      <c r="D8" s="755" t="s">
        <v>901</v>
      </c>
      <c r="E8" s="300" t="s">
        <v>902</v>
      </c>
      <c r="F8" s="1"/>
      <c r="G8" s="1"/>
      <c r="H8" s="1"/>
      <c r="I8" s="1"/>
      <c r="J8" s="1"/>
      <c r="K8" s="1"/>
      <c r="L8" s="1"/>
      <c r="M8" s="1"/>
      <c r="N8" s="1"/>
      <c r="O8" s="1"/>
      <c r="P8" s="1"/>
      <c r="Q8" s="1"/>
      <c r="R8" s="1"/>
      <c r="S8" s="1"/>
      <c r="T8" s="1"/>
      <c r="U8" s="1"/>
      <c r="V8" s="1"/>
      <c r="W8" s="1"/>
      <c r="X8" s="1"/>
      <c r="Y8" s="1"/>
      <c r="Z8" s="1"/>
    </row>
    <row r="9" ht="14.25" customHeight="1">
      <c r="A9" s="1"/>
      <c r="B9" s="1"/>
      <c r="C9" s="791" t="s">
        <v>903</v>
      </c>
      <c r="D9" s="755" t="s">
        <v>904</v>
      </c>
      <c r="E9" s="300" t="s">
        <v>905</v>
      </c>
      <c r="F9" s="1"/>
      <c r="G9" s="1"/>
      <c r="H9" s="1"/>
      <c r="I9" s="1"/>
      <c r="J9" s="1"/>
      <c r="K9" s="1"/>
      <c r="L9" s="1"/>
      <c r="M9" s="1"/>
      <c r="N9" s="1"/>
      <c r="O9" s="1"/>
      <c r="P9" s="1"/>
      <c r="Q9" s="1"/>
      <c r="R9" s="1"/>
      <c r="S9" s="1"/>
      <c r="T9" s="1"/>
      <c r="U9" s="1"/>
      <c r="V9" s="1"/>
      <c r="W9" s="1"/>
      <c r="X9" s="1"/>
      <c r="Y9" s="1"/>
      <c r="Z9" s="1"/>
    </row>
    <row r="10" ht="14.25" customHeight="1">
      <c r="A10" s="1"/>
      <c r="B10" s="1"/>
      <c r="C10" s="820" t="s">
        <v>906</v>
      </c>
      <c r="D10" s="821" t="s">
        <v>907</v>
      </c>
      <c r="E10" s="822" t="s">
        <v>3</v>
      </c>
      <c r="F10" s="1"/>
      <c r="G10" s="1"/>
      <c r="H10" s="1"/>
      <c r="I10" s="1"/>
      <c r="J10" s="1"/>
      <c r="K10" s="1"/>
      <c r="L10" s="1"/>
      <c r="M10" s="1"/>
      <c r="N10" s="1"/>
      <c r="O10" s="1"/>
      <c r="P10" s="1"/>
      <c r="Q10" s="1"/>
      <c r="R10" s="1"/>
      <c r="S10" s="1"/>
      <c r="T10" s="1"/>
      <c r="U10" s="1"/>
      <c r="V10" s="1"/>
      <c r="W10" s="1"/>
      <c r="X10" s="1"/>
      <c r="Y10" s="1"/>
      <c r="Z10" s="1"/>
    </row>
    <row r="11" ht="14.2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ht="14.2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C3:E3"/>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sheetPr>
  <sheetViews>
    <sheetView workbookViewId="0"/>
  </sheetViews>
  <sheetFormatPr customHeight="1" defaultColWidth="14.43" defaultRowHeight="15.0"/>
  <cols>
    <col customWidth="1" min="1" max="1" width="3.29"/>
    <col customWidth="1" min="2" max="2" width="24.43"/>
    <col customWidth="1" min="3" max="3" width="34.29"/>
    <col customWidth="1" min="4" max="4" width="41.71"/>
    <col customWidth="1" min="5" max="5" width="50.29"/>
    <col customWidth="1" min="6" max="6" width="20.43"/>
    <col customWidth="1" min="7" max="26" width="8.71"/>
  </cols>
  <sheetData>
    <row r="1" ht="14.25" customHeight="1">
      <c r="A1" s="823"/>
      <c r="B1" s="823"/>
      <c r="C1" s="823"/>
      <c r="D1" s="823"/>
      <c r="E1" s="823"/>
      <c r="F1" s="823"/>
      <c r="G1" s="823"/>
      <c r="H1" s="823"/>
    </row>
    <row r="2" ht="18.75" customHeight="1">
      <c r="A2" s="1"/>
      <c r="B2" s="824" t="s">
        <v>908</v>
      </c>
      <c r="C2" s="825" t="s">
        <v>909</v>
      </c>
      <c r="D2" s="825" t="s">
        <v>910</v>
      </c>
      <c r="E2" s="826" t="s">
        <v>911</v>
      </c>
      <c r="F2" s="827" t="s">
        <v>107</v>
      </c>
      <c r="G2" s="823"/>
      <c r="H2" s="823"/>
    </row>
    <row r="3" ht="21.0" customHeight="1">
      <c r="A3" s="1"/>
      <c r="B3" s="828" t="s">
        <v>912</v>
      </c>
      <c r="C3" s="829" t="s">
        <v>913</v>
      </c>
      <c r="D3" s="829" t="s">
        <v>914</v>
      </c>
      <c r="E3" s="830" t="s">
        <v>915</v>
      </c>
      <c r="F3" s="831" t="s">
        <v>234</v>
      </c>
      <c r="G3" s="1"/>
      <c r="H3" s="1"/>
    </row>
    <row r="4" ht="14.25" customHeight="1">
      <c r="A4" s="1"/>
      <c r="B4" s="832" t="s">
        <v>231</v>
      </c>
      <c r="C4" s="833" t="s">
        <v>231</v>
      </c>
      <c r="D4" s="759" t="s">
        <v>916</v>
      </c>
      <c r="E4" s="761" t="s">
        <v>330</v>
      </c>
      <c r="F4" s="834" t="s">
        <v>232</v>
      </c>
      <c r="G4" s="1"/>
      <c r="H4" s="1"/>
    </row>
    <row r="5" ht="14.25" customHeight="1">
      <c r="A5" s="1"/>
      <c r="B5" s="581"/>
      <c r="C5" s="835"/>
      <c r="D5" s="754" t="s">
        <v>917</v>
      </c>
      <c r="E5" s="755" t="s">
        <v>918</v>
      </c>
      <c r="F5" s="836" t="s">
        <v>232</v>
      </c>
      <c r="G5" s="1"/>
      <c r="H5" s="1"/>
    </row>
    <row r="6" ht="14.25" customHeight="1">
      <c r="A6" s="1"/>
      <c r="B6" s="581"/>
      <c r="C6" s="835"/>
      <c r="D6" s="754" t="s">
        <v>919</v>
      </c>
      <c r="E6" s="755" t="s">
        <v>335</v>
      </c>
      <c r="F6" s="836" t="s">
        <v>232</v>
      </c>
      <c r="G6" s="1"/>
      <c r="H6" s="1"/>
    </row>
    <row r="7" ht="14.25" customHeight="1">
      <c r="A7" s="1"/>
      <c r="B7" s="581"/>
      <c r="C7" s="611"/>
      <c r="D7" s="754" t="s">
        <v>920</v>
      </c>
      <c r="E7" s="755" t="s">
        <v>336</v>
      </c>
      <c r="F7" s="836" t="s">
        <v>232</v>
      </c>
      <c r="G7" s="1"/>
      <c r="H7" s="1"/>
    </row>
    <row r="8" ht="14.25" customHeight="1">
      <c r="A8" s="1"/>
      <c r="B8" s="581"/>
      <c r="C8" s="148" t="s">
        <v>921</v>
      </c>
      <c r="D8" s="754" t="s">
        <v>922</v>
      </c>
      <c r="E8" s="755" t="s">
        <v>325</v>
      </c>
      <c r="F8" s="837" t="s">
        <v>234</v>
      </c>
      <c r="G8" s="1"/>
      <c r="H8" s="1"/>
    </row>
    <row r="9" ht="14.25" customHeight="1">
      <c r="A9" s="1"/>
      <c r="B9" s="581"/>
      <c r="C9" s="835"/>
      <c r="D9" s="754" t="s">
        <v>923</v>
      </c>
      <c r="E9" s="755" t="s">
        <v>327</v>
      </c>
      <c r="F9" s="837" t="s">
        <v>234</v>
      </c>
      <c r="G9" s="1"/>
      <c r="H9" s="1"/>
    </row>
    <row r="10" ht="14.25" customHeight="1">
      <c r="A10" s="1"/>
      <c r="B10" s="581"/>
      <c r="C10" s="835"/>
      <c r="D10" s="754" t="s">
        <v>924</v>
      </c>
      <c r="E10" s="755" t="s">
        <v>925</v>
      </c>
      <c r="F10" s="837" t="s">
        <v>234</v>
      </c>
      <c r="G10" s="1"/>
      <c r="H10" s="1"/>
    </row>
    <row r="11" ht="14.25" customHeight="1">
      <c r="A11" s="1"/>
      <c r="B11" s="581"/>
      <c r="C11" s="835"/>
      <c r="D11" s="754" t="s">
        <v>926</v>
      </c>
      <c r="E11" s="755" t="s">
        <v>329</v>
      </c>
      <c r="F11" s="837" t="s">
        <v>234</v>
      </c>
      <c r="G11" s="1"/>
      <c r="H11" s="1"/>
    </row>
    <row r="12" ht="14.25" customHeight="1">
      <c r="A12" s="1"/>
      <c r="B12" s="581"/>
      <c r="C12" s="611"/>
      <c r="D12" s="754" t="s">
        <v>927</v>
      </c>
      <c r="E12" s="755" t="s">
        <v>928</v>
      </c>
      <c r="F12" s="837" t="s">
        <v>234</v>
      </c>
      <c r="G12" s="1"/>
      <c r="H12" s="1"/>
    </row>
    <row r="13" ht="14.25" customHeight="1">
      <c r="A13" s="1"/>
      <c r="B13" s="581"/>
      <c r="C13" s="754" t="s">
        <v>333</v>
      </c>
      <c r="D13" s="754" t="s">
        <v>929</v>
      </c>
      <c r="E13" s="755" t="s">
        <v>333</v>
      </c>
      <c r="F13" s="836" t="s">
        <v>232</v>
      </c>
      <c r="G13" s="1"/>
      <c r="H13" s="1"/>
    </row>
    <row r="14" ht="14.25" customHeight="1">
      <c r="A14" s="1"/>
      <c r="B14" s="138"/>
      <c r="C14" s="140" t="s">
        <v>930</v>
      </c>
      <c r="D14" s="140" t="s">
        <v>931</v>
      </c>
      <c r="E14" s="756" t="s">
        <v>334</v>
      </c>
      <c r="F14" s="838" t="s">
        <v>232</v>
      </c>
      <c r="G14" s="1"/>
      <c r="H14" s="1"/>
    </row>
    <row r="15" ht="14.25" customHeight="1">
      <c r="A15" s="1"/>
      <c r="B15" s="832" t="s">
        <v>932</v>
      </c>
      <c r="C15" s="759" t="s">
        <v>933</v>
      </c>
      <c r="D15" s="759" t="s">
        <v>934</v>
      </c>
      <c r="E15" s="761" t="s">
        <v>338</v>
      </c>
      <c r="F15" s="834" t="s">
        <v>232</v>
      </c>
      <c r="G15" s="1"/>
      <c r="H15" s="1"/>
    </row>
    <row r="16" ht="14.25" customHeight="1">
      <c r="A16" s="1"/>
      <c r="B16" s="581"/>
      <c r="C16" s="754" t="s">
        <v>337</v>
      </c>
      <c r="D16" s="754" t="s">
        <v>935</v>
      </c>
      <c r="E16" s="755" t="s">
        <v>337</v>
      </c>
      <c r="F16" s="836" t="s">
        <v>232</v>
      </c>
      <c r="G16" s="1"/>
      <c r="H16" s="1"/>
    </row>
    <row r="17" ht="14.25" customHeight="1">
      <c r="A17" s="1"/>
      <c r="B17" s="581"/>
      <c r="C17" s="148" t="s">
        <v>936</v>
      </c>
      <c r="D17" s="754" t="s">
        <v>937</v>
      </c>
      <c r="E17" s="755" t="s">
        <v>339</v>
      </c>
      <c r="F17" s="837" t="s">
        <v>234</v>
      </c>
      <c r="G17" s="1"/>
      <c r="H17" s="1"/>
    </row>
    <row r="18" ht="14.25" customHeight="1">
      <c r="A18" s="1"/>
      <c r="B18" s="581"/>
      <c r="C18" s="835"/>
      <c r="D18" s="754" t="s">
        <v>938</v>
      </c>
      <c r="E18" s="755" t="s">
        <v>340</v>
      </c>
      <c r="F18" s="837" t="s">
        <v>234</v>
      </c>
      <c r="G18" s="1"/>
      <c r="H18" s="1"/>
    </row>
    <row r="19" ht="14.25" customHeight="1">
      <c r="A19" s="1"/>
      <c r="B19" s="138"/>
      <c r="C19" s="783"/>
      <c r="D19" s="140" t="s">
        <v>939</v>
      </c>
      <c r="E19" s="756" t="s">
        <v>341</v>
      </c>
      <c r="F19" s="839" t="s">
        <v>234</v>
      </c>
      <c r="G19" s="1"/>
      <c r="H19" s="1"/>
    </row>
    <row r="20" ht="14.25" customHeight="1">
      <c r="A20" s="1"/>
      <c r="B20" s="832" t="s">
        <v>118</v>
      </c>
      <c r="C20" s="759" t="s">
        <v>940</v>
      </c>
      <c r="D20" s="759" t="s">
        <v>941</v>
      </c>
      <c r="E20" s="761" t="s">
        <v>347</v>
      </c>
      <c r="F20" s="834" t="s">
        <v>232</v>
      </c>
      <c r="G20" s="1"/>
      <c r="H20" s="1"/>
    </row>
    <row r="21" ht="14.25" customHeight="1">
      <c r="A21" s="1"/>
      <c r="B21" s="581"/>
      <c r="C21" s="148" t="s">
        <v>942</v>
      </c>
      <c r="D21" s="754" t="s">
        <v>943</v>
      </c>
      <c r="E21" s="755" t="s">
        <v>342</v>
      </c>
      <c r="F21" s="837" t="s">
        <v>234</v>
      </c>
      <c r="G21" s="1"/>
      <c r="H21" s="1"/>
    </row>
    <row r="22" ht="14.25" customHeight="1">
      <c r="A22" s="1"/>
      <c r="B22" s="581"/>
      <c r="C22" s="835"/>
      <c r="D22" s="754" t="s">
        <v>944</v>
      </c>
      <c r="E22" s="755" t="s">
        <v>119</v>
      </c>
      <c r="F22" s="837" t="s">
        <v>234</v>
      </c>
      <c r="G22" s="1"/>
      <c r="H22" s="1"/>
    </row>
    <row r="23" ht="14.25" customHeight="1">
      <c r="A23" s="1"/>
      <c r="B23" s="581"/>
      <c r="C23" s="835"/>
      <c r="D23" s="754" t="s">
        <v>945</v>
      </c>
      <c r="E23" s="755" t="s">
        <v>343</v>
      </c>
      <c r="F23" s="837" t="s">
        <v>234</v>
      </c>
      <c r="G23" s="1"/>
      <c r="H23" s="1"/>
    </row>
    <row r="24" ht="14.25" customHeight="1">
      <c r="A24" s="1"/>
      <c r="B24" s="581"/>
      <c r="C24" s="835"/>
      <c r="D24" s="754" t="s">
        <v>946</v>
      </c>
      <c r="E24" s="755" t="s">
        <v>344</v>
      </c>
      <c r="F24" s="837" t="s">
        <v>234</v>
      </c>
      <c r="G24" s="1"/>
      <c r="H24" s="1"/>
    </row>
    <row r="25" ht="14.25" customHeight="1">
      <c r="A25" s="1"/>
      <c r="B25" s="581"/>
      <c r="C25" s="835"/>
      <c r="D25" s="754" t="s">
        <v>947</v>
      </c>
      <c r="E25" s="755" t="s">
        <v>345</v>
      </c>
      <c r="F25" s="837" t="s">
        <v>234</v>
      </c>
      <c r="G25" s="1"/>
      <c r="H25" s="1"/>
    </row>
    <row r="26" ht="14.25" customHeight="1">
      <c r="A26" s="1"/>
      <c r="B26" s="581"/>
      <c r="C26" s="835"/>
      <c r="D26" s="754" t="s">
        <v>948</v>
      </c>
      <c r="E26" s="755" t="s">
        <v>346</v>
      </c>
      <c r="F26" s="837" t="s">
        <v>234</v>
      </c>
      <c r="G26" s="1"/>
      <c r="H26" s="1"/>
    </row>
    <row r="27" ht="14.25" customHeight="1">
      <c r="A27" s="1"/>
      <c r="B27" s="138"/>
      <c r="C27" s="783"/>
      <c r="D27" s="140" t="s">
        <v>949</v>
      </c>
      <c r="E27" s="756" t="s">
        <v>950</v>
      </c>
      <c r="F27" s="839" t="s">
        <v>234</v>
      </c>
      <c r="G27" s="1"/>
      <c r="H27" s="1"/>
    </row>
    <row r="28" ht="14.25" customHeight="1">
      <c r="A28" s="1"/>
      <c r="B28" s="832" t="s">
        <v>951</v>
      </c>
      <c r="C28" s="833" t="s">
        <v>952</v>
      </c>
      <c r="D28" s="759" t="s">
        <v>953</v>
      </c>
      <c r="E28" s="761" t="s">
        <v>954</v>
      </c>
      <c r="F28" s="834" t="s">
        <v>232</v>
      </c>
      <c r="G28" s="1"/>
      <c r="H28" s="1"/>
    </row>
    <row r="29" ht="14.25" customHeight="1">
      <c r="A29" s="1"/>
      <c r="B29" s="581"/>
      <c r="C29" s="835"/>
      <c r="D29" s="754" t="s">
        <v>955</v>
      </c>
      <c r="E29" s="755" t="s">
        <v>956</v>
      </c>
      <c r="F29" s="837" t="s">
        <v>234</v>
      </c>
      <c r="G29" s="1"/>
      <c r="H29" s="1"/>
    </row>
    <row r="30" ht="14.25" customHeight="1">
      <c r="A30" s="1"/>
      <c r="B30" s="581"/>
      <c r="C30" s="611"/>
      <c r="D30" s="754" t="s">
        <v>957</v>
      </c>
      <c r="E30" s="755" t="s">
        <v>958</v>
      </c>
      <c r="F30" s="837" t="s">
        <v>234</v>
      </c>
      <c r="G30" s="1"/>
      <c r="H30" s="1"/>
    </row>
    <row r="31" ht="14.25" customHeight="1">
      <c r="A31" s="1"/>
      <c r="B31" s="581"/>
      <c r="C31" s="148" t="s">
        <v>959</v>
      </c>
      <c r="D31" s="754" t="s">
        <v>960</v>
      </c>
      <c r="E31" s="755" t="s">
        <v>961</v>
      </c>
      <c r="F31" s="836" t="s">
        <v>232</v>
      </c>
      <c r="G31" s="1"/>
      <c r="H31" s="1"/>
    </row>
    <row r="32" ht="14.25" customHeight="1">
      <c r="A32" s="1"/>
      <c r="B32" s="581"/>
      <c r="C32" s="835"/>
      <c r="D32" s="754" t="s">
        <v>962</v>
      </c>
      <c r="E32" s="755" t="s">
        <v>963</v>
      </c>
      <c r="F32" s="837" t="s">
        <v>234</v>
      </c>
      <c r="G32" s="1"/>
      <c r="H32" s="1"/>
    </row>
    <row r="33" ht="14.25" customHeight="1">
      <c r="A33" s="1"/>
      <c r="B33" s="581"/>
      <c r="C33" s="611"/>
      <c r="D33" s="754" t="s">
        <v>964</v>
      </c>
      <c r="E33" s="755" t="s">
        <v>965</v>
      </c>
      <c r="F33" s="837" t="s">
        <v>234</v>
      </c>
      <c r="G33" s="1"/>
      <c r="H33" s="1"/>
    </row>
    <row r="34" ht="14.25" customHeight="1">
      <c r="A34" s="1"/>
      <c r="B34" s="581"/>
      <c r="C34" s="754" t="s">
        <v>966</v>
      </c>
      <c r="D34" s="754" t="s">
        <v>967</v>
      </c>
      <c r="E34" s="755" t="s">
        <v>968</v>
      </c>
      <c r="F34" s="840" t="s">
        <v>359</v>
      </c>
      <c r="G34" s="1"/>
      <c r="H34" s="1"/>
    </row>
    <row r="35" ht="14.25" customHeight="1">
      <c r="A35" s="1"/>
      <c r="B35" s="581"/>
      <c r="C35" s="148" t="s">
        <v>969</v>
      </c>
      <c r="D35" s="754" t="s">
        <v>970</v>
      </c>
      <c r="E35" s="755" t="s">
        <v>971</v>
      </c>
      <c r="F35" s="836" t="s">
        <v>232</v>
      </c>
      <c r="G35" s="1"/>
      <c r="H35" s="1"/>
    </row>
    <row r="36" ht="14.25" customHeight="1">
      <c r="A36" s="1"/>
      <c r="B36" s="581"/>
      <c r="C36" s="835"/>
      <c r="D36" s="754" t="s">
        <v>972</v>
      </c>
      <c r="E36" s="755" t="s">
        <v>973</v>
      </c>
      <c r="F36" s="836" t="s">
        <v>232</v>
      </c>
      <c r="G36" s="1"/>
      <c r="H36" s="1"/>
    </row>
    <row r="37" ht="14.25" customHeight="1">
      <c r="A37" s="1"/>
      <c r="B37" s="581"/>
      <c r="C37" s="835"/>
      <c r="D37" s="754" t="s">
        <v>974</v>
      </c>
      <c r="E37" s="755" t="s">
        <v>975</v>
      </c>
      <c r="F37" s="837" t="s">
        <v>234</v>
      </c>
      <c r="G37" s="1"/>
      <c r="H37" s="1"/>
    </row>
    <row r="38" ht="14.25" customHeight="1">
      <c r="A38" s="1"/>
      <c r="B38" s="138"/>
      <c r="C38" s="783"/>
      <c r="D38" s="140" t="s">
        <v>976</v>
      </c>
      <c r="E38" s="756" t="s">
        <v>977</v>
      </c>
      <c r="F38" s="839" t="s">
        <v>234</v>
      </c>
      <c r="G38" s="1"/>
      <c r="H38" s="1"/>
    </row>
    <row r="39" ht="14.25" customHeight="1">
      <c r="A39" s="1"/>
      <c r="B39" s="841" t="s">
        <v>978</v>
      </c>
      <c r="C39" s="759" t="s">
        <v>979</v>
      </c>
      <c r="D39" s="759" t="s">
        <v>980</v>
      </c>
      <c r="E39" s="761" t="s">
        <v>392</v>
      </c>
      <c r="F39" s="834" t="s">
        <v>981</v>
      </c>
      <c r="G39" s="1"/>
      <c r="H39" s="1"/>
    </row>
    <row r="40" ht="14.25" customHeight="1">
      <c r="A40" s="1"/>
      <c r="B40" s="581"/>
      <c r="C40" s="754" t="s">
        <v>979</v>
      </c>
      <c r="D40" s="754" t="s">
        <v>982</v>
      </c>
      <c r="E40" s="755" t="s">
        <v>391</v>
      </c>
      <c r="F40" s="836" t="s">
        <v>981</v>
      </c>
      <c r="G40" s="1"/>
      <c r="H40" s="1"/>
    </row>
    <row r="41" ht="14.25" customHeight="1">
      <c r="A41" s="1"/>
      <c r="B41" s="138"/>
      <c r="C41" s="140" t="s">
        <v>979</v>
      </c>
      <c r="D41" s="140" t="s">
        <v>983</v>
      </c>
      <c r="E41" s="756" t="s">
        <v>984</v>
      </c>
      <c r="F41" s="839" t="s">
        <v>234</v>
      </c>
      <c r="G41" s="1"/>
      <c r="H41" s="1"/>
    </row>
    <row r="42" ht="14.25" customHeight="1">
      <c r="A42" s="1"/>
      <c r="B42" s="832" t="s">
        <v>237</v>
      </c>
      <c r="C42" s="759" t="s">
        <v>979</v>
      </c>
      <c r="D42" s="759" t="s">
        <v>985</v>
      </c>
      <c r="E42" s="761" t="s">
        <v>389</v>
      </c>
      <c r="F42" s="834" t="s">
        <v>981</v>
      </c>
      <c r="G42" s="1"/>
      <c r="H42" s="1"/>
    </row>
    <row r="43" ht="14.25" customHeight="1">
      <c r="A43" s="1"/>
      <c r="B43" s="581"/>
      <c r="C43" s="754" t="s">
        <v>979</v>
      </c>
      <c r="D43" s="754" t="s">
        <v>986</v>
      </c>
      <c r="E43" s="755" t="s">
        <v>383</v>
      </c>
      <c r="F43" s="836" t="s">
        <v>981</v>
      </c>
      <c r="G43" s="1"/>
      <c r="H43" s="1"/>
    </row>
    <row r="44" ht="14.25" customHeight="1">
      <c r="A44" s="1"/>
      <c r="B44" s="581"/>
      <c r="C44" s="754" t="s">
        <v>979</v>
      </c>
      <c r="D44" s="754" t="s">
        <v>987</v>
      </c>
      <c r="E44" s="755" t="s">
        <v>387</v>
      </c>
      <c r="F44" s="836" t="s">
        <v>981</v>
      </c>
      <c r="G44" s="1"/>
      <c r="H44" s="1"/>
    </row>
    <row r="45" ht="14.25" customHeight="1">
      <c r="A45" s="1"/>
      <c r="B45" s="581"/>
      <c r="C45" s="754" t="s">
        <v>979</v>
      </c>
      <c r="D45" s="754" t="s">
        <v>988</v>
      </c>
      <c r="E45" s="755" t="s">
        <v>384</v>
      </c>
      <c r="F45" s="836" t="s">
        <v>232</v>
      </c>
      <c r="G45" s="1"/>
      <c r="H45" s="1"/>
    </row>
    <row r="46" ht="14.25" customHeight="1">
      <c r="A46" s="1"/>
      <c r="B46" s="581"/>
      <c r="C46" s="754" t="s">
        <v>979</v>
      </c>
      <c r="D46" s="754" t="s">
        <v>989</v>
      </c>
      <c r="E46" s="755" t="s">
        <v>386</v>
      </c>
      <c r="F46" s="836" t="s">
        <v>981</v>
      </c>
      <c r="G46" s="1"/>
      <c r="H46" s="1"/>
    </row>
    <row r="47" ht="14.25" customHeight="1">
      <c r="A47" s="1"/>
      <c r="B47" s="581"/>
      <c r="C47" s="754" t="s">
        <v>979</v>
      </c>
      <c r="D47" s="754" t="s">
        <v>990</v>
      </c>
      <c r="E47" s="755" t="s">
        <v>385</v>
      </c>
      <c r="F47" s="836" t="s">
        <v>232</v>
      </c>
      <c r="G47" s="1"/>
      <c r="H47" s="1"/>
    </row>
    <row r="48" ht="14.25" customHeight="1">
      <c r="A48" s="1"/>
      <c r="B48" s="581"/>
      <c r="C48" s="754" t="s">
        <v>979</v>
      </c>
      <c r="D48" s="754" t="s">
        <v>991</v>
      </c>
      <c r="E48" s="755" t="s">
        <v>388</v>
      </c>
      <c r="F48" s="836" t="s">
        <v>981</v>
      </c>
      <c r="G48" s="1"/>
      <c r="H48" s="1"/>
    </row>
    <row r="49" ht="14.25" customHeight="1">
      <c r="A49" s="1"/>
      <c r="B49" s="581"/>
      <c r="C49" s="754" t="s">
        <v>979</v>
      </c>
      <c r="D49" s="754" t="s">
        <v>992</v>
      </c>
      <c r="E49" s="755" t="s">
        <v>993</v>
      </c>
      <c r="F49" s="836" t="s">
        <v>232</v>
      </c>
      <c r="G49" s="1"/>
      <c r="H49" s="1"/>
    </row>
    <row r="50" ht="14.25" customHeight="1">
      <c r="A50" s="1"/>
      <c r="B50" s="581"/>
      <c r="C50" s="754" t="s">
        <v>979</v>
      </c>
      <c r="D50" s="754" t="s">
        <v>994</v>
      </c>
      <c r="E50" s="755" t="s">
        <v>995</v>
      </c>
      <c r="F50" s="837" t="s">
        <v>234</v>
      </c>
      <c r="G50" s="1"/>
      <c r="H50" s="1"/>
    </row>
    <row r="51" ht="14.25" customHeight="1">
      <c r="A51" s="1"/>
      <c r="B51" s="138"/>
      <c r="C51" s="140" t="s">
        <v>979</v>
      </c>
      <c r="D51" s="140" t="s">
        <v>996</v>
      </c>
      <c r="E51" s="756" t="s">
        <v>390</v>
      </c>
      <c r="F51" s="839" t="s">
        <v>234</v>
      </c>
      <c r="G51" s="1"/>
      <c r="H51" s="1"/>
    </row>
    <row r="52" ht="14.25" customHeight="1">
      <c r="A52" s="1"/>
      <c r="B52" s="832" t="s">
        <v>238</v>
      </c>
      <c r="C52" s="759" t="s">
        <v>353</v>
      </c>
      <c r="D52" s="759" t="s">
        <v>997</v>
      </c>
      <c r="E52" s="761" t="s">
        <v>353</v>
      </c>
      <c r="F52" s="842" t="s">
        <v>234</v>
      </c>
      <c r="G52" s="1"/>
      <c r="H52" s="1"/>
    </row>
    <row r="53" ht="14.25" customHeight="1">
      <c r="A53" s="1"/>
      <c r="B53" s="138"/>
      <c r="C53" s="140" t="s">
        <v>998</v>
      </c>
      <c r="D53" s="140" t="s">
        <v>999</v>
      </c>
      <c r="E53" s="756" t="s">
        <v>1000</v>
      </c>
      <c r="F53" s="839" t="s">
        <v>234</v>
      </c>
      <c r="G53" s="1"/>
      <c r="H53" s="1"/>
    </row>
    <row r="54" ht="14.25" customHeight="1">
      <c r="A54" s="1"/>
      <c r="B54" s="832" t="s">
        <v>1001</v>
      </c>
      <c r="C54" s="759" t="s">
        <v>1002</v>
      </c>
      <c r="D54" s="759" t="s">
        <v>1003</v>
      </c>
      <c r="E54" s="761" t="s">
        <v>287</v>
      </c>
      <c r="F54" s="842" t="s">
        <v>234</v>
      </c>
      <c r="G54" s="1"/>
      <c r="H54" s="1"/>
    </row>
    <row r="55" ht="14.25" customHeight="1">
      <c r="A55" s="1"/>
      <c r="B55" s="581"/>
      <c r="C55" s="754" t="s">
        <v>289</v>
      </c>
      <c r="D55" s="754" t="s">
        <v>1004</v>
      </c>
      <c r="E55" s="755" t="s">
        <v>289</v>
      </c>
      <c r="F55" s="836" t="s">
        <v>232</v>
      </c>
      <c r="G55" s="1"/>
      <c r="H55" s="1"/>
    </row>
    <row r="56" ht="14.25" customHeight="1">
      <c r="A56" s="1"/>
      <c r="B56" s="138"/>
      <c r="C56" s="140" t="s">
        <v>1005</v>
      </c>
      <c r="D56" s="140" t="s">
        <v>1006</v>
      </c>
      <c r="E56" s="756" t="s">
        <v>288</v>
      </c>
      <c r="F56" s="839" t="s">
        <v>234</v>
      </c>
      <c r="G56" s="1"/>
      <c r="H56" s="1"/>
    </row>
    <row r="57" ht="14.25" customHeight="1">
      <c r="A57" s="1"/>
      <c r="B57" s="832" t="s">
        <v>239</v>
      </c>
      <c r="C57" s="759" t="s">
        <v>1007</v>
      </c>
      <c r="D57" s="759" t="s">
        <v>1008</v>
      </c>
      <c r="E57" s="761" t="s">
        <v>354</v>
      </c>
      <c r="F57" s="834" t="s">
        <v>232</v>
      </c>
      <c r="G57" s="1"/>
      <c r="H57" s="1"/>
    </row>
    <row r="58" ht="14.25" customHeight="1">
      <c r="A58" s="1"/>
      <c r="B58" s="138"/>
      <c r="C58" s="140" t="s">
        <v>1009</v>
      </c>
      <c r="D58" s="140" t="s">
        <v>1010</v>
      </c>
      <c r="E58" s="756" t="s">
        <v>355</v>
      </c>
      <c r="F58" s="839" t="s">
        <v>234</v>
      </c>
      <c r="G58" s="1"/>
      <c r="H58" s="1"/>
    </row>
    <row r="59" ht="14.25" customHeight="1">
      <c r="A59" s="1"/>
      <c r="B59" s="832" t="s">
        <v>114</v>
      </c>
      <c r="C59" s="759" t="s">
        <v>357</v>
      </c>
      <c r="D59" s="759" t="s">
        <v>1011</v>
      </c>
      <c r="E59" s="761" t="s">
        <v>357</v>
      </c>
      <c r="F59" s="834" t="s">
        <v>232</v>
      </c>
      <c r="G59" s="1"/>
      <c r="H59" s="1"/>
    </row>
    <row r="60" ht="14.25" customHeight="1">
      <c r="A60" s="1"/>
      <c r="B60" s="581"/>
      <c r="C60" s="754" t="s">
        <v>1012</v>
      </c>
      <c r="D60" s="754" t="s">
        <v>1013</v>
      </c>
      <c r="E60" s="755" t="s">
        <v>1014</v>
      </c>
      <c r="F60" s="836" t="s">
        <v>232</v>
      </c>
      <c r="G60" s="1"/>
      <c r="H60" s="1"/>
    </row>
    <row r="61" ht="14.25" customHeight="1">
      <c r="A61" s="1"/>
      <c r="B61" s="581"/>
      <c r="C61" s="754" t="s">
        <v>1015</v>
      </c>
      <c r="D61" s="754" t="s">
        <v>1016</v>
      </c>
      <c r="E61" s="755" t="s">
        <v>1017</v>
      </c>
      <c r="F61" s="837" t="s">
        <v>234</v>
      </c>
      <c r="G61" s="1"/>
      <c r="H61" s="1"/>
    </row>
    <row r="62" ht="14.25" customHeight="1">
      <c r="A62" s="1"/>
      <c r="B62" s="581"/>
      <c r="C62" s="754" t="s">
        <v>361</v>
      </c>
      <c r="D62" s="754" t="s">
        <v>1018</v>
      </c>
      <c r="E62" s="755" t="s">
        <v>361</v>
      </c>
      <c r="F62" s="836" t="s">
        <v>232</v>
      </c>
      <c r="G62" s="1"/>
      <c r="H62" s="1"/>
    </row>
    <row r="63" ht="14.25" customHeight="1">
      <c r="A63" s="1"/>
      <c r="B63" s="581"/>
      <c r="C63" s="754" t="s">
        <v>1019</v>
      </c>
      <c r="D63" s="754" t="s">
        <v>1020</v>
      </c>
      <c r="E63" s="755" t="s">
        <v>364</v>
      </c>
      <c r="F63" s="837" t="s">
        <v>234</v>
      </c>
      <c r="G63" s="1"/>
      <c r="H63" s="1"/>
    </row>
    <row r="64" ht="14.25" customHeight="1">
      <c r="A64" s="1"/>
      <c r="B64" s="581"/>
      <c r="C64" s="148" t="s">
        <v>1021</v>
      </c>
      <c r="D64" s="754" t="s">
        <v>1022</v>
      </c>
      <c r="E64" s="755" t="s">
        <v>117</v>
      </c>
      <c r="F64" s="836" t="s">
        <v>232</v>
      </c>
      <c r="G64" s="1"/>
      <c r="H64" s="1"/>
    </row>
    <row r="65" ht="14.25" customHeight="1">
      <c r="A65" s="1"/>
      <c r="B65" s="581"/>
      <c r="C65" s="611"/>
      <c r="D65" s="754" t="s">
        <v>1023</v>
      </c>
      <c r="E65" s="755" t="s">
        <v>1024</v>
      </c>
      <c r="F65" s="840" t="s">
        <v>359</v>
      </c>
      <c r="G65" s="1"/>
      <c r="H65" s="1"/>
    </row>
    <row r="66" ht="14.25" customHeight="1">
      <c r="A66" s="1"/>
      <c r="B66" s="581"/>
      <c r="C66" s="754" t="s">
        <v>1025</v>
      </c>
      <c r="D66" s="754" t="s">
        <v>1026</v>
      </c>
      <c r="E66" s="755" t="s">
        <v>1027</v>
      </c>
      <c r="F66" s="837" t="s">
        <v>234</v>
      </c>
      <c r="G66" s="1"/>
      <c r="H66" s="1"/>
    </row>
    <row r="67" ht="14.25" customHeight="1">
      <c r="A67" s="1"/>
      <c r="B67" s="581"/>
      <c r="C67" s="754" t="s">
        <v>1028</v>
      </c>
      <c r="D67" s="754" t="s">
        <v>1029</v>
      </c>
      <c r="E67" s="755" t="s">
        <v>365</v>
      </c>
      <c r="F67" s="836" t="s">
        <v>232</v>
      </c>
      <c r="G67" s="1"/>
      <c r="H67" s="1"/>
    </row>
    <row r="68" ht="14.25" customHeight="1">
      <c r="A68" s="1"/>
      <c r="B68" s="581"/>
      <c r="C68" s="148" t="s">
        <v>1030</v>
      </c>
      <c r="D68" s="754" t="s">
        <v>1031</v>
      </c>
      <c r="E68" s="755" t="s">
        <v>366</v>
      </c>
      <c r="F68" s="836" t="s">
        <v>232</v>
      </c>
      <c r="G68" s="1"/>
      <c r="H68" s="1"/>
    </row>
    <row r="69" ht="14.25" customHeight="1">
      <c r="A69" s="1"/>
      <c r="B69" s="581"/>
      <c r="C69" s="611"/>
      <c r="D69" s="754" t="s">
        <v>1032</v>
      </c>
      <c r="E69" s="755" t="s">
        <v>367</v>
      </c>
      <c r="F69" s="836" t="s">
        <v>232</v>
      </c>
      <c r="G69" s="1"/>
      <c r="H69" s="1"/>
    </row>
    <row r="70" ht="14.25" customHeight="1">
      <c r="A70" s="1"/>
      <c r="B70" s="581"/>
      <c r="C70" s="754" t="s">
        <v>1033</v>
      </c>
      <c r="D70" s="754" t="s">
        <v>1034</v>
      </c>
      <c r="E70" s="755" t="s">
        <v>115</v>
      </c>
      <c r="F70" s="840" t="s">
        <v>359</v>
      </c>
      <c r="G70" s="1"/>
      <c r="H70" s="1"/>
    </row>
    <row r="71" ht="14.25" customHeight="1">
      <c r="A71" s="1"/>
      <c r="B71" s="581"/>
      <c r="C71" s="754" t="s">
        <v>1035</v>
      </c>
      <c r="D71" s="754" t="s">
        <v>1036</v>
      </c>
      <c r="E71" s="755" t="s">
        <v>350</v>
      </c>
      <c r="F71" s="836" t="s">
        <v>232</v>
      </c>
      <c r="G71" s="1"/>
      <c r="H71" s="1"/>
    </row>
    <row r="72" ht="14.25" customHeight="1">
      <c r="A72" s="1"/>
      <c r="B72" s="581"/>
      <c r="C72" s="754" t="s">
        <v>1037</v>
      </c>
      <c r="D72" s="754" t="s">
        <v>1038</v>
      </c>
      <c r="E72" s="755" t="s">
        <v>370</v>
      </c>
      <c r="F72" s="836" t="s">
        <v>232</v>
      </c>
      <c r="G72" s="1"/>
      <c r="H72" s="1"/>
    </row>
    <row r="73" ht="14.25" customHeight="1">
      <c r="A73" s="1"/>
      <c r="B73" s="581"/>
      <c r="C73" s="754" t="s">
        <v>1039</v>
      </c>
      <c r="D73" s="754" t="s">
        <v>1040</v>
      </c>
      <c r="E73" s="755" t="s">
        <v>358</v>
      </c>
      <c r="F73" s="840" t="s">
        <v>359</v>
      </c>
      <c r="G73" s="1"/>
      <c r="H73" s="1"/>
    </row>
    <row r="74" ht="14.25" customHeight="1">
      <c r="A74" s="1"/>
      <c r="B74" s="581"/>
      <c r="C74" s="754" t="s">
        <v>1041</v>
      </c>
      <c r="D74" s="754" t="s">
        <v>1042</v>
      </c>
      <c r="E74" s="755" t="s">
        <v>368</v>
      </c>
      <c r="F74" s="836" t="s">
        <v>232</v>
      </c>
      <c r="G74" s="1"/>
      <c r="H74" s="1"/>
    </row>
    <row r="75" ht="14.25" customHeight="1">
      <c r="A75" s="1"/>
      <c r="B75" s="581"/>
      <c r="C75" s="754" t="s">
        <v>1043</v>
      </c>
      <c r="D75" s="754" t="s">
        <v>1044</v>
      </c>
      <c r="E75" s="755" t="s">
        <v>1045</v>
      </c>
      <c r="F75" s="836" t="s">
        <v>232</v>
      </c>
      <c r="G75" s="1"/>
      <c r="H75" s="1"/>
    </row>
    <row r="76" ht="14.25" customHeight="1">
      <c r="A76" s="1"/>
      <c r="B76" s="581"/>
      <c r="C76" s="754" t="s">
        <v>1046</v>
      </c>
      <c r="D76" s="754" t="s">
        <v>1047</v>
      </c>
      <c r="E76" s="755" t="s">
        <v>1048</v>
      </c>
      <c r="F76" s="836" t="s">
        <v>232</v>
      </c>
      <c r="G76" s="1"/>
      <c r="H76" s="1"/>
    </row>
    <row r="77" ht="14.25" customHeight="1">
      <c r="A77" s="1"/>
      <c r="B77" s="581"/>
      <c r="C77" s="148" t="s">
        <v>1049</v>
      </c>
      <c r="D77" s="754" t="s">
        <v>1050</v>
      </c>
      <c r="E77" s="755" t="s">
        <v>371</v>
      </c>
      <c r="F77" s="836" t="s">
        <v>232</v>
      </c>
      <c r="G77" s="1"/>
      <c r="H77" s="1"/>
    </row>
    <row r="78" ht="14.25" customHeight="1">
      <c r="A78" s="1"/>
      <c r="B78" s="581"/>
      <c r="C78" s="611"/>
      <c r="D78" s="754" t="s">
        <v>1051</v>
      </c>
      <c r="E78" s="755" t="s">
        <v>1052</v>
      </c>
      <c r="F78" s="836" t="s">
        <v>232</v>
      </c>
      <c r="G78" s="1"/>
      <c r="H78" s="1"/>
    </row>
    <row r="79" ht="14.25" customHeight="1">
      <c r="A79" s="1"/>
      <c r="B79" s="138"/>
      <c r="C79" s="140" t="s">
        <v>1053</v>
      </c>
      <c r="D79" s="140" t="s">
        <v>1054</v>
      </c>
      <c r="E79" s="756" t="s">
        <v>363</v>
      </c>
      <c r="F79" s="843" t="s">
        <v>359</v>
      </c>
      <c r="G79" s="1"/>
      <c r="H79" s="1"/>
    </row>
    <row r="80" ht="14.25" customHeight="1">
      <c r="A80" s="1"/>
      <c r="B80" s="832" t="s">
        <v>240</v>
      </c>
      <c r="C80" s="833" t="s">
        <v>1055</v>
      </c>
      <c r="D80" s="759" t="s">
        <v>1056</v>
      </c>
      <c r="E80" s="761" t="s">
        <v>377</v>
      </c>
      <c r="F80" s="834" t="s">
        <v>232</v>
      </c>
      <c r="G80" s="1"/>
      <c r="H80" s="1"/>
    </row>
    <row r="81" ht="14.25" customHeight="1">
      <c r="A81" s="1"/>
      <c r="B81" s="581"/>
      <c r="C81" s="611"/>
      <c r="D81" s="754" t="s">
        <v>1057</v>
      </c>
      <c r="E81" s="755" t="s">
        <v>1058</v>
      </c>
      <c r="F81" s="837" t="s">
        <v>234</v>
      </c>
      <c r="G81" s="1"/>
      <c r="H81" s="1"/>
    </row>
    <row r="82" ht="14.25" customHeight="1">
      <c r="A82" s="1"/>
      <c r="B82" s="581"/>
      <c r="C82" s="754" t="s">
        <v>1059</v>
      </c>
      <c r="D82" s="754" t="s">
        <v>1060</v>
      </c>
      <c r="E82" s="755" t="s">
        <v>379</v>
      </c>
      <c r="F82" s="837" t="s">
        <v>234</v>
      </c>
      <c r="G82" s="1"/>
      <c r="H82" s="1"/>
    </row>
    <row r="83" ht="14.25" customHeight="1">
      <c r="A83" s="1"/>
      <c r="B83" s="138"/>
      <c r="C83" s="140" t="s">
        <v>1061</v>
      </c>
      <c r="D83" s="140" t="s">
        <v>1062</v>
      </c>
      <c r="E83" s="756" t="s">
        <v>380</v>
      </c>
      <c r="F83" s="839" t="s">
        <v>234</v>
      </c>
      <c r="G83" s="1"/>
      <c r="H83" s="1"/>
    </row>
    <row r="84" ht="14.25" customHeight="1">
      <c r="A84" s="1"/>
      <c r="B84" s="1"/>
      <c r="C84" s="1"/>
      <c r="D84" s="1"/>
      <c r="E84" s="1"/>
      <c r="F84" s="1"/>
      <c r="G84" s="1"/>
      <c r="H84" s="1"/>
    </row>
    <row r="85" ht="14.25" customHeight="1">
      <c r="A85" s="1"/>
      <c r="B85" s="1"/>
      <c r="C85" s="1"/>
      <c r="D85" s="1"/>
      <c r="E85" s="1"/>
      <c r="F85" s="1"/>
      <c r="G85" s="1"/>
      <c r="H85" s="1"/>
    </row>
    <row r="86" ht="14.25" customHeight="1">
      <c r="A86" s="1"/>
      <c r="B86" s="1"/>
      <c r="C86" s="1"/>
      <c r="D86" s="1"/>
      <c r="E86" s="1"/>
      <c r="F86" s="1"/>
      <c r="G86" s="1"/>
      <c r="H86" s="1"/>
    </row>
    <row r="87" ht="14.25" customHeight="1">
      <c r="A87" s="1"/>
      <c r="B87" s="1"/>
      <c r="C87" s="1"/>
      <c r="D87" s="1"/>
      <c r="E87" s="1"/>
      <c r="F87" s="1"/>
      <c r="G87" s="1"/>
      <c r="H87" s="1"/>
    </row>
    <row r="88" ht="14.25" customHeight="1">
      <c r="A88" s="1"/>
      <c r="B88" s="1"/>
      <c r="C88" s="1"/>
      <c r="D88" s="1"/>
      <c r="E88" s="1"/>
      <c r="F88" s="1"/>
      <c r="G88" s="1"/>
      <c r="H88" s="1"/>
    </row>
    <row r="89" ht="14.25" hidden="1" customHeight="1">
      <c r="A89" s="1"/>
      <c r="B89" s="1"/>
      <c r="C89" s="1"/>
      <c r="D89" s="1"/>
      <c r="E89" s="1"/>
      <c r="F89" s="1"/>
      <c r="G89" s="1"/>
      <c r="H89" s="1"/>
    </row>
    <row r="90" ht="14.25" hidden="1" customHeight="1">
      <c r="A90" s="1"/>
      <c r="B90" s="1"/>
      <c r="C90" s="1"/>
      <c r="D90" s="1"/>
      <c r="E90" s="1"/>
      <c r="F90" s="1"/>
      <c r="G90" s="1"/>
      <c r="H90" s="1"/>
    </row>
    <row r="91" ht="14.25" hidden="1" customHeight="1">
      <c r="A91" s="1"/>
      <c r="B91" s="1"/>
      <c r="C91" s="1"/>
      <c r="D91" s="1"/>
      <c r="E91" s="1"/>
      <c r="F91" s="1"/>
      <c r="G91" s="1"/>
      <c r="H91" s="1"/>
    </row>
    <row r="92" ht="14.25" hidden="1" customHeight="1">
      <c r="A92" s="1"/>
      <c r="B92" s="1"/>
      <c r="C92" s="1"/>
      <c r="D92" s="1"/>
      <c r="E92" s="1"/>
      <c r="F92" s="1"/>
      <c r="G92" s="1"/>
      <c r="H92" s="1"/>
    </row>
    <row r="93" ht="14.25" hidden="1" customHeight="1">
      <c r="A93" s="1"/>
      <c r="B93" s="1"/>
      <c r="C93" s="1"/>
      <c r="D93" s="1"/>
      <c r="E93" s="1"/>
      <c r="F93" s="1"/>
      <c r="G93" s="1"/>
      <c r="H93" s="1"/>
    </row>
    <row r="94" ht="14.25" hidden="1" customHeight="1">
      <c r="A94" s="1"/>
      <c r="B94" s="1"/>
      <c r="C94" s="1"/>
      <c r="D94" s="1"/>
      <c r="E94" s="1"/>
      <c r="F94" s="1"/>
      <c r="G94" s="1"/>
      <c r="H94" s="1"/>
    </row>
    <row r="95" ht="14.25" hidden="1" customHeight="1">
      <c r="A95" s="1"/>
      <c r="B95" s="1"/>
      <c r="C95" s="1"/>
      <c r="D95" s="1"/>
      <c r="E95" s="1"/>
      <c r="F95" s="1"/>
      <c r="G95" s="1"/>
      <c r="H95" s="1"/>
    </row>
    <row r="96" ht="14.25" hidden="1" customHeight="1">
      <c r="A96" s="1"/>
      <c r="B96" s="1"/>
      <c r="C96" s="1"/>
      <c r="D96" s="1"/>
      <c r="E96" s="1"/>
      <c r="F96" s="1"/>
      <c r="G96" s="1"/>
      <c r="H96" s="1"/>
    </row>
    <row r="97" ht="14.25" hidden="1" customHeight="1">
      <c r="A97" s="1"/>
      <c r="B97" s="1"/>
      <c r="C97" s="1"/>
      <c r="D97" s="1"/>
      <c r="E97" s="1"/>
      <c r="F97" s="1"/>
      <c r="G97" s="1"/>
      <c r="H97" s="1"/>
    </row>
    <row r="98" ht="14.25" hidden="1" customHeight="1">
      <c r="A98" s="1"/>
      <c r="B98" s="1"/>
      <c r="C98" s="1"/>
      <c r="D98" s="1"/>
      <c r="E98" s="1"/>
      <c r="F98" s="1"/>
      <c r="G98" s="1"/>
      <c r="H98" s="1"/>
    </row>
    <row r="99" ht="14.25" hidden="1" customHeight="1">
      <c r="A99" s="1"/>
      <c r="B99" s="1"/>
      <c r="C99" s="1"/>
      <c r="D99" s="1"/>
      <c r="E99" s="1"/>
      <c r="F99" s="1"/>
      <c r="G99" s="1"/>
      <c r="H99" s="1"/>
    </row>
    <row r="100" ht="14.25" hidden="1" customHeight="1">
      <c r="A100" s="1"/>
      <c r="B100" s="1"/>
      <c r="C100" s="1"/>
      <c r="D100" s="1"/>
      <c r="E100" s="1"/>
      <c r="F100" s="1"/>
      <c r="G100" s="1"/>
      <c r="H100" s="1"/>
    </row>
    <row r="101" ht="14.25" hidden="1" customHeight="1">
      <c r="A101" s="1"/>
      <c r="B101" s="1"/>
      <c r="C101" s="1"/>
      <c r="D101" s="1"/>
      <c r="E101" s="1"/>
      <c r="F101" s="1"/>
      <c r="G101" s="1"/>
      <c r="H101" s="1"/>
    </row>
    <row r="102" ht="14.25" hidden="1" customHeight="1">
      <c r="A102" s="1"/>
      <c r="B102" s="1"/>
      <c r="C102" s="1"/>
      <c r="D102" s="1"/>
      <c r="E102" s="1"/>
      <c r="F102" s="1"/>
      <c r="G102" s="1"/>
      <c r="H102" s="1"/>
    </row>
    <row r="103" ht="14.25" hidden="1" customHeight="1">
      <c r="A103" s="1"/>
      <c r="B103" s="1"/>
      <c r="C103" s="1"/>
      <c r="D103" s="1"/>
      <c r="E103" s="1"/>
      <c r="F103" s="1"/>
      <c r="G103" s="1"/>
      <c r="H103" s="1"/>
    </row>
    <row r="104" ht="14.25" hidden="1" customHeight="1">
      <c r="A104" s="1"/>
      <c r="B104" s="1"/>
      <c r="C104" s="1"/>
      <c r="D104" s="1"/>
      <c r="E104" s="1"/>
      <c r="F104" s="1"/>
      <c r="G104" s="1"/>
      <c r="H104" s="1"/>
    </row>
    <row r="105" ht="14.25" hidden="1" customHeight="1">
      <c r="A105" s="1"/>
      <c r="B105" s="1"/>
      <c r="C105" s="1"/>
      <c r="D105" s="1"/>
      <c r="E105" s="1"/>
      <c r="F105" s="1"/>
      <c r="G105" s="1"/>
      <c r="H105" s="1"/>
    </row>
    <row r="106" ht="14.25" hidden="1" customHeight="1">
      <c r="A106" s="1"/>
      <c r="B106" s="1"/>
      <c r="C106" s="1"/>
      <c r="D106" s="1"/>
      <c r="E106" s="1"/>
      <c r="F106" s="1"/>
      <c r="G106" s="1"/>
      <c r="H106" s="1"/>
    </row>
    <row r="107" ht="14.25" hidden="1" customHeight="1">
      <c r="A107" s="1"/>
      <c r="B107" s="1"/>
      <c r="C107" s="1"/>
      <c r="D107" s="1"/>
      <c r="E107" s="1"/>
      <c r="F107" s="1"/>
      <c r="G107" s="1"/>
      <c r="H107" s="1"/>
    </row>
    <row r="108" ht="14.25" hidden="1" customHeight="1">
      <c r="A108" s="1"/>
      <c r="B108" s="1"/>
      <c r="C108" s="1"/>
      <c r="D108" s="1"/>
      <c r="E108" s="1"/>
      <c r="F108" s="1"/>
      <c r="G108" s="1"/>
      <c r="H108" s="1"/>
    </row>
    <row r="109" ht="14.25" hidden="1" customHeight="1">
      <c r="A109" s="1"/>
      <c r="B109" s="1"/>
      <c r="C109" s="1"/>
      <c r="D109" s="1"/>
      <c r="E109" s="1"/>
      <c r="F109" s="1"/>
      <c r="G109" s="1"/>
      <c r="H109" s="1"/>
    </row>
    <row r="110" ht="14.25" hidden="1" customHeight="1">
      <c r="A110" s="1"/>
      <c r="B110" s="1"/>
      <c r="C110" s="1"/>
      <c r="D110" s="1"/>
      <c r="E110" s="1"/>
      <c r="F110" s="1"/>
      <c r="G110" s="1"/>
      <c r="H110" s="1"/>
    </row>
    <row r="111" ht="14.25" hidden="1" customHeight="1">
      <c r="A111" s="1"/>
      <c r="B111" s="1"/>
      <c r="C111" s="1"/>
      <c r="D111" s="1"/>
      <c r="E111" s="1"/>
      <c r="F111" s="1"/>
      <c r="G111" s="1"/>
      <c r="H111" s="1"/>
    </row>
    <row r="112" ht="14.25" hidden="1" customHeight="1">
      <c r="A112" s="1"/>
      <c r="B112" s="1"/>
      <c r="C112" s="1"/>
      <c r="D112" s="1"/>
      <c r="E112" s="1"/>
      <c r="F112" s="1"/>
      <c r="G112" s="1"/>
      <c r="H112" s="1"/>
    </row>
    <row r="113" ht="14.25" hidden="1" customHeight="1">
      <c r="A113" s="1"/>
      <c r="B113" s="1"/>
      <c r="C113" s="1"/>
      <c r="D113" s="1"/>
      <c r="E113" s="1"/>
      <c r="F113" s="1"/>
      <c r="G113" s="1"/>
      <c r="H113" s="1"/>
    </row>
    <row r="114" ht="14.25" hidden="1" customHeight="1">
      <c r="A114" s="1"/>
      <c r="B114" s="1"/>
      <c r="C114" s="1"/>
      <c r="D114" s="1"/>
      <c r="E114" s="1"/>
      <c r="F114" s="1"/>
      <c r="G114" s="1"/>
      <c r="H114" s="1"/>
    </row>
    <row r="115" ht="14.25" hidden="1" customHeight="1">
      <c r="A115" s="1"/>
      <c r="B115" s="1"/>
      <c r="C115" s="1"/>
      <c r="D115" s="1"/>
      <c r="E115" s="1"/>
      <c r="F115" s="1"/>
      <c r="G115" s="1"/>
      <c r="H115" s="1"/>
    </row>
    <row r="116" ht="14.25" hidden="1" customHeight="1">
      <c r="A116" s="1"/>
      <c r="B116" s="1"/>
      <c r="C116" s="1"/>
      <c r="D116" s="1"/>
      <c r="E116" s="1"/>
      <c r="F116" s="1"/>
      <c r="G116" s="1"/>
      <c r="H116" s="1"/>
    </row>
    <row r="117" ht="14.25" hidden="1" customHeight="1">
      <c r="A117" s="1"/>
      <c r="B117" s="1"/>
      <c r="C117" s="1"/>
      <c r="D117" s="1"/>
      <c r="E117" s="1"/>
      <c r="F117" s="1"/>
      <c r="G117" s="1"/>
      <c r="H117" s="1"/>
    </row>
    <row r="118" ht="14.25" hidden="1" customHeight="1">
      <c r="A118" s="1"/>
      <c r="B118" s="1"/>
      <c r="C118" s="1"/>
      <c r="D118" s="1"/>
      <c r="E118" s="1"/>
      <c r="F118" s="1"/>
      <c r="G118" s="1"/>
      <c r="H118" s="1"/>
    </row>
    <row r="119" ht="14.25" hidden="1" customHeight="1">
      <c r="A119" s="1"/>
      <c r="B119" s="1"/>
      <c r="C119" s="1"/>
      <c r="D119" s="1"/>
      <c r="E119" s="1"/>
      <c r="F119" s="1"/>
      <c r="G119" s="1"/>
      <c r="H119" s="1"/>
    </row>
    <row r="120" ht="14.25" hidden="1" customHeight="1">
      <c r="A120" s="1"/>
      <c r="B120" s="1"/>
      <c r="C120" s="1"/>
      <c r="D120" s="1"/>
      <c r="E120" s="1"/>
      <c r="F120" s="1"/>
      <c r="G120" s="1"/>
      <c r="H120" s="1"/>
    </row>
    <row r="121" ht="14.25" hidden="1" customHeight="1">
      <c r="A121" s="1"/>
      <c r="B121" s="1"/>
      <c r="C121" s="1"/>
      <c r="D121" s="1"/>
      <c r="E121" s="1"/>
      <c r="F121" s="1"/>
      <c r="G121" s="1"/>
      <c r="H121" s="1"/>
    </row>
    <row r="122" ht="14.25" hidden="1" customHeight="1">
      <c r="A122" s="1"/>
      <c r="B122" s="1"/>
      <c r="C122" s="1"/>
      <c r="D122" s="1"/>
      <c r="E122" s="1"/>
      <c r="F122" s="1"/>
      <c r="G122" s="1"/>
      <c r="H122" s="1"/>
    </row>
    <row r="123" ht="14.25" hidden="1" customHeight="1">
      <c r="A123" s="1"/>
      <c r="B123" s="1"/>
      <c r="C123" s="1"/>
      <c r="D123" s="1"/>
      <c r="E123" s="1"/>
      <c r="F123" s="1"/>
      <c r="G123" s="1"/>
      <c r="H123" s="1"/>
    </row>
    <row r="124" ht="14.25" hidden="1" customHeight="1">
      <c r="A124" s="1"/>
      <c r="B124" s="1"/>
      <c r="C124" s="1"/>
      <c r="D124" s="1"/>
      <c r="E124" s="1"/>
      <c r="F124" s="1"/>
      <c r="G124" s="1"/>
      <c r="H124" s="1"/>
    </row>
    <row r="125" ht="14.25" hidden="1" customHeight="1">
      <c r="A125" s="1"/>
      <c r="B125" s="1"/>
      <c r="C125" s="1"/>
      <c r="D125" s="1"/>
      <c r="E125" s="1"/>
      <c r="F125" s="1"/>
      <c r="G125" s="1"/>
      <c r="H125" s="1"/>
    </row>
    <row r="126" ht="14.25" hidden="1" customHeight="1">
      <c r="A126" s="1"/>
      <c r="B126" s="1"/>
      <c r="C126" s="1"/>
      <c r="D126" s="1"/>
      <c r="E126" s="1"/>
      <c r="F126" s="1"/>
      <c r="G126" s="1"/>
      <c r="H126" s="1"/>
    </row>
    <row r="127" ht="14.25" hidden="1" customHeight="1">
      <c r="A127" s="1"/>
      <c r="B127" s="1"/>
      <c r="C127" s="1"/>
      <c r="D127" s="1"/>
      <c r="E127" s="1"/>
      <c r="F127" s="1"/>
      <c r="G127" s="1"/>
      <c r="H127" s="1"/>
    </row>
    <row r="128" ht="14.25" hidden="1" customHeight="1">
      <c r="A128" s="1"/>
      <c r="B128" s="1"/>
      <c r="C128" s="1"/>
      <c r="D128" s="1"/>
      <c r="E128" s="1"/>
      <c r="F128" s="1"/>
      <c r="G128" s="1"/>
      <c r="H128" s="1"/>
    </row>
    <row r="129" ht="14.25" hidden="1" customHeight="1">
      <c r="A129" s="1"/>
      <c r="B129" s="1"/>
      <c r="C129" s="1"/>
      <c r="D129" s="1"/>
      <c r="E129" s="1"/>
      <c r="F129" s="1"/>
      <c r="G129" s="1"/>
      <c r="H129" s="1"/>
    </row>
    <row r="130" ht="14.25" hidden="1" customHeight="1">
      <c r="A130" s="1"/>
      <c r="B130" s="1"/>
      <c r="C130" s="1"/>
      <c r="D130" s="1"/>
      <c r="E130" s="1"/>
      <c r="F130" s="1"/>
      <c r="G130" s="1"/>
      <c r="H130" s="1"/>
    </row>
    <row r="131" ht="14.25" hidden="1" customHeight="1">
      <c r="A131" s="1"/>
      <c r="B131" s="1"/>
      <c r="C131" s="1"/>
      <c r="D131" s="1"/>
      <c r="E131" s="1"/>
      <c r="F131" s="1"/>
      <c r="G131" s="1"/>
      <c r="H131" s="1"/>
    </row>
    <row r="132" ht="14.25" hidden="1" customHeight="1">
      <c r="A132" s="1"/>
      <c r="B132" s="1"/>
      <c r="C132" s="1"/>
      <c r="D132" s="1"/>
      <c r="E132" s="1"/>
      <c r="F132" s="1"/>
      <c r="G132" s="1"/>
      <c r="H132" s="1"/>
    </row>
    <row r="133" ht="14.25" hidden="1" customHeight="1">
      <c r="A133" s="1"/>
      <c r="B133" s="1"/>
      <c r="C133" s="1"/>
      <c r="D133" s="1"/>
      <c r="E133" s="1"/>
      <c r="F133" s="1"/>
      <c r="G133" s="1"/>
      <c r="H133" s="1"/>
    </row>
    <row r="134" ht="14.25" hidden="1" customHeight="1">
      <c r="A134" s="1"/>
      <c r="B134" s="1"/>
      <c r="C134" s="1"/>
      <c r="D134" s="1"/>
      <c r="E134" s="1"/>
      <c r="F134" s="1"/>
      <c r="G134" s="1"/>
      <c r="H134" s="1"/>
    </row>
    <row r="135" ht="14.25" hidden="1" customHeight="1">
      <c r="A135" s="1"/>
      <c r="B135" s="1"/>
      <c r="C135" s="1"/>
      <c r="D135" s="1"/>
      <c r="E135" s="1"/>
      <c r="F135" s="1"/>
      <c r="G135" s="1"/>
      <c r="H135" s="1"/>
    </row>
    <row r="136" ht="14.25" hidden="1" customHeight="1">
      <c r="A136" s="1"/>
      <c r="B136" s="1"/>
      <c r="C136" s="1"/>
      <c r="D136" s="1"/>
      <c r="E136" s="1"/>
      <c r="F136" s="1"/>
      <c r="G136" s="1"/>
      <c r="H136" s="1"/>
    </row>
    <row r="137" ht="14.25" hidden="1" customHeight="1">
      <c r="A137" s="1"/>
      <c r="B137" s="1"/>
      <c r="C137" s="1"/>
      <c r="D137" s="1"/>
      <c r="E137" s="1"/>
      <c r="F137" s="1"/>
      <c r="G137" s="1"/>
      <c r="H137" s="1"/>
    </row>
    <row r="138" ht="14.25" hidden="1" customHeight="1">
      <c r="A138" s="1"/>
      <c r="B138" s="1"/>
      <c r="C138" s="1"/>
      <c r="D138" s="1"/>
      <c r="E138" s="1"/>
      <c r="F138" s="1"/>
      <c r="G138" s="1"/>
      <c r="H138" s="1"/>
    </row>
    <row r="139" ht="14.25" hidden="1" customHeight="1">
      <c r="A139" s="1"/>
      <c r="B139" s="1"/>
      <c r="C139" s="1"/>
      <c r="D139" s="1"/>
      <c r="E139" s="1"/>
      <c r="F139" s="1"/>
      <c r="G139" s="1"/>
      <c r="H139" s="1"/>
    </row>
    <row r="140" ht="14.25" hidden="1" customHeight="1">
      <c r="A140" s="1"/>
      <c r="B140" s="1"/>
      <c r="C140" s="1"/>
      <c r="D140" s="1"/>
      <c r="E140" s="1"/>
      <c r="F140" s="1"/>
      <c r="G140" s="1"/>
      <c r="H140" s="1"/>
    </row>
    <row r="141" ht="14.25" hidden="1" customHeight="1">
      <c r="A141" s="1"/>
      <c r="B141" s="1"/>
      <c r="C141" s="1"/>
      <c r="D141" s="1"/>
      <c r="E141" s="1"/>
      <c r="F141" s="1"/>
      <c r="G141" s="1"/>
      <c r="H141" s="1"/>
    </row>
    <row r="142" ht="14.25" hidden="1" customHeight="1">
      <c r="A142" s="1"/>
      <c r="B142" s="1"/>
      <c r="C142" s="1"/>
      <c r="D142" s="1"/>
      <c r="E142" s="1"/>
      <c r="F142" s="1"/>
      <c r="G142" s="1"/>
      <c r="H142" s="1"/>
    </row>
    <row r="143" ht="14.25" hidden="1" customHeight="1">
      <c r="A143" s="1"/>
      <c r="B143" s="1"/>
      <c r="C143" s="1"/>
      <c r="D143" s="1"/>
      <c r="E143" s="1"/>
      <c r="F143" s="1"/>
      <c r="G143" s="1"/>
      <c r="H143" s="1"/>
    </row>
    <row r="144" ht="14.25" hidden="1" customHeight="1">
      <c r="A144" s="1"/>
      <c r="B144" s="1"/>
      <c r="C144" s="1"/>
      <c r="D144" s="1"/>
      <c r="E144" s="1"/>
      <c r="F144" s="1"/>
      <c r="G144" s="1"/>
      <c r="H144" s="1"/>
    </row>
    <row r="145" ht="14.25" hidden="1" customHeight="1">
      <c r="A145" s="1"/>
      <c r="B145" s="1"/>
      <c r="C145" s="1"/>
      <c r="D145" s="1"/>
      <c r="E145" s="1"/>
      <c r="F145" s="1"/>
      <c r="G145" s="1"/>
      <c r="H145" s="1"/>
    </row>
    <row r="146" ht="14.25" hidden="1" customHeight="1">
      <c r="A146" s="1"/>
      <c r="B146" s="1"/>
      <c r="C146" s="1"/>
      <c r="D146" s="1"/>
      <c r="E146" s="1"/>
      <c r="F146" s="1"/>
      <c r="G146" s="1"/>
      <c r="H146" s="1"/>
    </row>
    <row r="147" ht="14.25" hidden="1" customHeight="1">
      <c r="A147" s="1"/>
      <c r="B147" s="1"/>
      <c r="C147" s="1"/>
      <c r="D147" s="1"/>
      <c r="E147" s="1"/>
      <c r="F147" s="1"/>
      <c r="G147" s="1"/>
      <c r="H147" s="1"/>
    </row>
    <row r="148" ht="14.25" hidden="1" customHeight="1">
      <c r="A148" s="1"/>
      <c r="B148" s="1"/>
      <c r="C148" s="1"/>
      <c r="D148" s="1"/>
      <c r="E148" s="1"/>
      <c r="F148" s="1"/>
      <c r="G148" s="1"/>
      <c r="H148" s="1"/>
    </row>
    <row r="149" ht="14.25" hidden="1" customHeight="1">
      <c r="A149" s="1"/>
      <c r="B149" s="1"/>
      <c r="C149" s="1"/>
      <c r="D149" s="1"/>
      <c r="E149" s="1"/>
      <c r="F149" s="1"/>
      <c r="G149" s="1"/>
      <c r="H149" s="1"/>
    </row>
    <row r="150" ht="14.25" hidden="1" customHeight="1">
      <c r="A150" s="1"/>
      <c r="B150" s="1"/>
      <c r="C150" s="1"/>
      <c r="D150" s="1"/>
      <c r="E150" s="1"/>
      <c r="F150" s="1"/>
      <c r="G150" s="1"/>
      <c r="H150" s="1"/>
    </row>
    <row r="151" ht="14.25" hidden="1" customHeight="1">
      <c r="A151" s="1"/>
      <c r="B151" s="1"/>
      <c r="C151" s="1"/>
    </row>
    <row r="152" ht="14.25" hidden="1" customHeight="1">
      <c r="A152" s="1"/>
      <c r="B152" s="1"/>
      <c r="C152" s="1"/>
    </row>
    <row r="153" ht="14.25" hidden="1" customHeight="1">
      <c r="A153" s="1"/>
      <c r="B153" s="1"/>
      <c r="C153" s="1"/>
    </row>
    <row r="154" ht="14.25" hidden="1" customHeight="1">
      <c r="A154" s="1"/>
      <c r="B154" s="1"/>
      <c r="C154" s="1"/>
    </row>
    <row r="155" ht="14.25" hidden="1" customHeight="1">
      <c r="A155" s="1"/>
      <c r="B155" s="1"/>
      <c r="C155" s="1"/>
    </row>
    <row r="156" ht="14.25" hidden="1" customHeight="1">
      <c r="A156" s="1"/>
      <c r="B156" s="1"/>
      <c r="C156" s="1"/>
    </row>
    <row r="157" ht="14.25" hidden="1" customHeight="1">
      <c r="A157" s="1"/>
      <c r="B157" s="1"/>
      <c r="C157" s="1"/>
    </row>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B$2:$F$83"/>
  <mergeCells count="22">
    <mergeCell ref="C21:C27"/>
    <mergeCell ref="C28:C30"/>
    <mergeCell ref="C31:C33"/>
    <mergeCell ref="C35:C38"/>
    <mergeCell ref="C64:C65"/>
    <mergeCell ref="C68:C69"/>
    <mergeCell ref="C77:C78"/>
    <mergeCell ref="C80:C81"/>
    <mergeCell ref="B39:B41"/>
    <mergeCell ref="B42:B51"/>
    <mergeCell ref="B52:B53"/>
    <mergeCell ref="B54:B56"/>
    <mergeCell ref="B57:B58"/>
    <mergeCell ref="B59:B79"/>
    <mergeCell ref="B80:B83"/>
    <mergeCell ref="B4:B14"/>
    <mergeCell ref="C4:C7"/>
    <mergeCell ref="C8:C12"/>
    <mergeCell ref="B15:B19"/>
    <mergeCell ref="C17:C19"/>
    <mergeCell ref="B20:B27"/>
    <mergeCell ref="B28:B38"/>
  </mergeCells>
  <printOptions/>
  <pageMargins bottom="0.75" footer="0.0" header="0.0" left="0.7" right="0.7" top="0.75"/>
  <pageSetup paperSize="9" orientation="portrait"/>
  <drawing r:id="rId1"/>
</worksheet>
</file>